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danl/Dropbox/Andreanof_2020/Aleut_2020/_Sheets_plan/"/>
    </mc:Choice>
  </mc:AlternateContent>
  <xr:revisionPtr revIDLastSave="0" documentId="13_ncr:1_{A7BC6767-135D-7C4D-9FF7-95514FDEE7C3}" xr6:coauthVersionLast="47" xr6:coauthVersionMax="47" xr10:uidLastSave="{00000000-0000-0000-0000-000000000000}"/>
  <bookViews>
    <workbookView xWindow="1020" yWindow="500" windowWidth="48780" windowHeight="24760" tabRatio="500" xr2:uid="{00000000-000D-0000-FFFF-FFFF00000000}"/>
  </bookViews>
  <sheets>
    <sheet name="Plan_K_N-S_09-15-20_XD2" sheetId="1" r:id="rId1"/>
    <sheet name="Insts_09_02_20" sheetId="7" r:id="rId2"/>
  </sheets>
  <definedNames>
    <definedName name="avg_rise_D1N" localSheetId="1">#REF!</definedName>
    <definedName name="avg_rise_D1N" localSheetId="0">'Plan_K_N-S_09-15-20_XD2'!$B$176</definedName>
    <definedName name="avg_rise_D1N">#REF!</definedName>
    <definedName name="avg_rise_D1S" localSheetId="1">#REF!</definedName>
    <definedName name="avg_rise_D1S" localSheetId="0">'Plan_K_N-S_09-15-20_XD2'!$B$202</definedName>
    <definedName name="avg_rise_D1S">#REF!</definedName>
    <definedName name="avg_rise_D2N" localSheetId="1">#REF!</definedName>
    <definedName name="avg_rise_D2N" localSheetId="0">'Plan_K_N-S_09-15-20_XD2'!$B$203</definedName>
    <definedName name="avg_rise_D2N">#REF!</definedName>
    <definedName name="avg_rise_D2S" localSheetId="1">#REF!</definedName>
    <definedName name="avg_rise_D2S" localSheetId="0">'Plan_K_N-S_09-15-20_XD2'!$B$204</definedName>
    <definedName name="avg_rise_D2S">#REF!</definedName>
    <definedName name="avg_rise_rate" localSheetId="1">#REF!</definedName>
    <definedName name="avg_rise_rate" localSheetId="0">'Plan_K_N-S_09-15-20_XD2'!$B$173</definedName>
    <definedName name="avg_rise_rate">#REF!</definedName>
    <definedName name="avg_rise_strike" localSheetId="1">#REF!</definedName>
    <definedName name="avg_rise_strike" localSheetId="0">'Plan_K_N-S_09-15-20_XD2'!$B$175</definedName>
    <definedName name="avg_rise_strike">#REF!</definedName>
    <definedName name="avg_rise_time" localSheetId="1">#REF!</definedName>
    <definedName name="avg_rise_time" localSheetId="0">'Plan_K_N-S_09-15-20_XD2'!$B$175</definedName>
    <definedName name="avg_rise_time">#REF!</definedName>
    <definedName name="avg_stime_days" localSheetId="1">#REF!</definedName>
    <definedName name="avg_stime_days" localSheetId="0">#REF!</definedName>
    <definedName name="avg_stime_days">#REF!</definedName>
    <definedName name="avg_stime_days_C" localSheetId="1">#REF!</definedName>
    <definedName name="avg_stime_days_C" localSheetId="0">#REF!</definedName>
    <definedName name="avg_stime_days_C">#REF!</definedName>
    <definedName name="avg_teth_dep" localSheetId="1">#REF!</definedName>
    <definedName name="avg_teth_dep" localSheetId="0">'Plan_K_N-S_09-15-20_XD2'!$E$156</definedName>
    <definedName name="avg_teth_dep">#REF!</definedName>
    <definedName name="bbobs_dep" localSheetId="1">#REF!</definedName>
    <definedName name="bbobs_dep" localSheetId="0">'Plan_K_N-S_09-15-20_XD2'!#REF!</definedName>
    <definedName name="bbobs_dep">#REF!</definedName>
    <definedName name="burn_time" localSheetId="1">#REF!</definedName>
    <definedName name="burn_time" localSheetId="0">'Plan_K_N-S_09-15-20_XD2'!$B$205</definedName>
    <definedName name="burn_time">#REF!</definedName>
    <definedName name="D1_N_depth" localSheetId="1">#REF!</definedName>
    <definedName name="D1_N_depth" localSheetId="0">'Plan_K_N-S_09-15-20_XD2'!$B$169</definedName>
    <definedName name="D1_N_depth">#REF!</definedName>
    <definedName name="D1_S_depth" localSheetId="1">#REF!</definedName>
    <definedName name="D1_S_depth" localSheetId="0">'Plan_K_N-S_09-15-20_XD2'!$B$170</definedName>
    <definedName name="D1_S_depth">#REF!</definedName>
    <definedName name="D2_N_depth" localSheetId="1">#REF!</definedName>
    <definedName name="D2_N_depth" localSheetId="0">'Plan_K_N-S_09-15-20_XD2'!$B$170</definedName>
    <definedName name="D2_N_depth">#REF!</definedName>
    <definedName name="D2_S_depth" localSheetId="1">#REF!</definedName>
    <definedName name="D2_S_depth" localSheetId="0">'Plan_K_N-S_09-15-20_XD2'!$B$172</definedName>
    <definedName name="D2_S_depth">#REF!</definedName>
    <definedName name="d2r" localSheetId="1">#REF!</definedName>
    <definedName name="d2r" localSheetId="0">#REF!</definedName>
    <definedName name="d2r">#REF!</definedName>
    <definedName name="deploy_bb" localSheetId="1">#REF!</definedName>
    <definedName name="deploy_bb" localSheetId="0">#REF!</definedName>
    <definedName name="deploy_bb">#REF!</definedName>
    <definedName name="deploy_surv" localSheetId="1">#REF!</definedName>
    <definedName name="deploy_surv" localSheetId="0">#REF!</definedName>
    <definedName name="deploy_surv">#REF!</definedName>
    <definedName name="dshot_km" localSheetId="1">#REF!</definedName>
    <definedName name="dshot_km" localSheetId="0">#REF!</definedName>
    <definedName name="dshot_km">#REF!</definedName>
    <definedName name="dshot_max_minutes" localSheetId="1">#REF!</definedName>
    <definedName name="dshot_max_minutes" localSheetId="0">#REF!</definedName>
    <definedName name="dshot_max_minutes">#REF!</definedName>
    <definedName name="dshot_min_days" localSheetId="1">#REF!</definedName>
    <definedName name="dshot_min_days" localSheetId="0">#REF!</definedName>
    <definedName name="dshot_min_days">#REF!</definedName>
    <definedName name="dshot_min_minutes" localSheetId="1">#REF!</definedName>
    <definedName name="dshot_min_minutes" localSheetId="0">#REF!</definedName>
    <definedName name="dshot_min_minutes">#REF!</definedName>
    <definedName name="Dspeed" localSheetId="1">#REF!</definedName>
    <definedName name="Dspeed" localSheetId="0">'Plan_K_N-S_09-15-20_XD2'!$E$144</definedName>
    <definedName name="Dspeed">#REF!</definedName>
    <definedName name="geom_dep_cost" localSheetId="1">#REF!</definedName>
    <definedName name="geom_dep_cost" localSheetId="0">#REF!</definedName>
    <definedName name="geom_dep_cost">#REF!</definedName>
    <definedName name="km_per_nm" localSheetId="1">#REF!</definedName>
    <definedName name="km_per_nm" localSheetId="0">'Plan_K_N-S_09-15-20_XD2'!$E$139</definedName>
    <definedName name="km_per_nm">#REF!</definedName>
    <definedName name="km_per_nm_old" localSheetId="1">#REF!</definedName>
    <definedName name="km_per_nm_old" localSheetId="0">#REF!</definedName>
    <definedName name="km_per_nm_old">#REF!</definedName>
    <definedName name="kroner_dollar" localSheetId="1">#REF!</definedName>
    <definedName name="kroner_dollar" localSheetId="0">#REF!</definedName>
    <definedName name="kroner_dollar">#REF!</definedName>
    <definedName name="mcs_cost" localSheetId="1">#REF!</definedName>
    <definedName name="mcs_cost" localSheetId="0">#REF!</definedName>
    <definedName name="mcs_cost">#REF!</definedName>
    <definedName name="mcs_deploy" localSheetId="1">#REF!</definedName>
    <definedName name="mcs_deploy" localSheetId="0">#REF!</definedName>
    <definedName name="mcs_deploy">#REF!</definedName>
    <definedName name="mcs_recover" localSheetId="1">#REF!</definedName>
    <definedName name="mcs_recover" localSheetId="0">#REF!</definedName>
    <definedName name="mcs_recover">#REF!</definedName>
    <definedName name="mcs_shoot" localSheetId="1">#REF!</definedName>
    <definedName name="mcs_shoot" localSheetId="0">'Plan_K_N-S_09-15-20_XD2'!$E$153</definedName>
    <definedName name="mcs_shoot">#REF!</definedName>
    <definedName name="mcs_shoot_old" localSheetId="1">#REF!</definedName>
    <definedName name="mcs_shoot_old" localSheetId="0">#REF!</definedName>
    <definedName name="mcs_shoot_old">#REF!</definedName>
    <definedName name="MGL_speed" localSheetId="1">#REF!</definedName>
    <definedName name="MGL_speed" localSheetId="0">'Plan_K_N-S_09-15-20_XD2'!$E$143</definedName>
    <definedName name="MGL_speed">#REF!</definedName>
    <definedName name="n_obs" localSheetId="1">#REF!</definedName>
    <definedName name="n_obs" localSheetId="0">'Plan_K_N-S_09-15-20_XD2'!$O$48</definedName>
    <definedName name="n_obs">#REF!</definedName>
    <definedName name="N_shots_max" localSheetId="1">#REF!</definedName>
    <definedName name="N_shots_max" localSheetId="0">#REF!</definedName>
    <definedName name="N_shots_max">#REF!</definedName>
    <definedName name="N_shots_min" localSheetId="1">#REF!</definedName>
    <definedName name="N_shots_min" localSheetId="0">#REF!</definedName>
    <definedName name="N_shots_min">#REF!</definedName>
    <definedName name="n_teth_D1" localSheetId="1">#REF!</definedName>
    <definedName name="n_teth_D1" localSheetId="0">'Plan_K_N-S_09-15-20_XD2'!$C$157</definedName>
    <definedName name="n_teth_D1">#REF!</definedName>
    <definedName name="n_teth_D2" localSheetId="1">#REF!</definedName>
    <definedName name="n_teth_D2" localSheetId="0">'Plan_K_N-S_09-15-20_XD2'!$C$158</definedName>
    <definedName name="n_teth_D2">#REF!</definedName>
    <definedName name="nM_km" localSheetId="1">#REF!</definedName>
    <definedName name="nM_km" localSheetId="0">'Plan_K_N-S_09-15-20_XD2'!$E$138</definedName>
    <definedName name="nM_km">#REF!</definedName>
    <definedName name="nobs_whoi" localSheetId="1">#REF!</definedName>
    <definedName name="nobs_whoi" localSheetId="0">'Plan_K_N-S_09-15-20_XD2'!$B$134</definedName>
    <definedName name="nobs_whoi">#REF!</definedName>
    <definedName name="obh_dep" localSheetId="1">#REF!</definedName>
    <definedName name="obh_dep" localSheetId="0">'Plan_K_N-S_09-15-20_XD2'!$E$145</definedName>
    <definedName name="obh_dep">#REF!</definedName>
    <definedName name="obh_rec_D1" localSheetId="1">#REF!</definedName>
    <definedName name="obh_rec_D1" localSheetId="0">#REF!</definedName>
    <definedName name="obh_rec_D1">#REF!</definedName>
    <definedName name="obh_rec_D1N" localSheetId="1">#REF!</definedName>
    <definedName name="obh_rec_D1N" localSheetId="0">'Plan_K_N-S_09-15-20_XD2'!$E$148</definedName>
    <definedName name="obh_rec_D1N">#REF!</definedName>
    <definedName name="obh_rec_D1S" localSheetId="1">#REF!</definedName>
    <definedName name="obh_rec_D1S" localSheetId="0">'Plan_K_N-S_09-15-20_XD2'!$E$149</definedName>
    <definedName name="obh_rec_D1S">#REF!</definedName>
    <definedName name="obh_rec_D2N" localSheetId="1">#REF!</definedName>
    <definedName name="obh_rec_D2N" localSheetId="0">'Plan_K_N-S_09-15-20_XD2'!$E$150</definedName>
    <definedName name="obh_rec_D2N">#REF!</definedName>
    <definedName name="obh_rec_D2S" localSheetId="1">#REF!</definedName>
    <definedName name="obh_rec_D2S" localSheetId="0">'Plan_K_N-S_09-15-20_XD2'!$E$151</definedName>
    <definedName name="obh_rec_D2S">#REF!</definedName>
    <definedName name="obh_rec_dip" localSheetId="1">#REF!</definedName>
    <definedName name="obh_rec_dip" localSheetId="0">'Plan_K_N-S_09-15-20_XD2'!$E$151</definedName>
    <definedName name="obh_rec_dip">#REF!</definedName>
    <definedName name="obh_rec_strike" localSheetId="1">#REF!</definedName>
    <definedName name="obh_rec_strike" localSheetId="0">'Plan_K_N-S_09-15-20_XD2'!$E$147</definedName>
    <definedName name="obh_rec_strike">#REF!</definedName>
    <definedName name="obh_recover" localSheetId="1">#REF!</definedName>
    <definedName name="obh_recover" localSheetId="0">'Plan_K_N-S_09-15-20_XD2'!$E$151</definedName>
    <definedName name="obh_recover">#REF!</definedName>
    <definedName name="obh_shoot" localSheetId="1">#REF!</definedName>
    <definedName name="obh_shoot" localSheetId="0">'Plan_K_N-S_09-15-20_XD2'!$E$152</definedName>
    <definedName name="obh_shoot">#REF!</definedName>
    <definedName name="obh_shoot_old" localSheetId="1">#REF!</definedName>
    <definedName name="obh_shoot_old" localSheetId="0">#REF!</definedName>
    <definedName name="obh_shoot_old">#REF!</definedName>
    <definedName name="PI" localSheetId="1">#REF!</definedName>
    <definedName name="PI" localSheetId="0">#REF!</definedName>
    <definedName name="PI">#REF!</definedName>
    <definedName name="_xlnm.Print_Area" localSheetId="0">'Plan_K_N-S_09-15-20_XD2'!$A$39:$K$86</definedName>
    <definedName name="rec_time" localSheetId="0">'Plan_K_N-S_09-15-20_XD2'!$B$206</definedName>
    <definedName name="rec_time">#REF!</definedName>
    <definedName name="rise_SIO" localSheetId="0">'Plan_K_N-S_09-15-20_XD2'!$B$177</definedName>
    <definedName name="rise_SIO">#REF!</definedName>
    <definedName name="rise_WHOI" localSheetId="0">'Plan_K_N-S_09-15-20_XD2'!$B$178</definedName>
    <definedName name="rise_WHOI">#REF!</definedName>
    <definedName name="rtimeD1_1_2" localSheetId="0">'Plan_K_N-S_09-15-20_XD2'!$B$179</definedName>
    <definedName name="rtimeD1_1_2">#REF!</definedName>
    <definedName name="rtimeD1_1_4" localSheetId="0">'Plan_K_N-S_09-15-20_XD2'!$B$180</definedName>
    <definedName name="rtimeD1_1_4">#REF!</definedName>
    <definedName name="rtimeD1_11">'Plan_K_N-S_09-15-20_XD2'!$B$193</definedName>
    <definedName name="rtimeD1_11_12" localSheetId="0">#REF!</definedName>
    <definedName name="rtimeD1_11_12">#REF!</definedName>
    <definedName name="rtimeD1_11_13" localSheetId="0">'Plan_K_N-S_09-15-20_XD2'!$B$183</definedName>
    <definedName name="rtimeD1_11_13">#REF!</definedName>
    <definedName name="rtimeD1_12">'Plan_K_N-S_09-15-20_XD2'!$B$192</definedName>
    <definedName name="rtimeD1_13">'Plan_K_N-S_09-15-20_XD2'!$B$191</definedName>
    <definedName name="rtimeD1_14">'Plan_K_N-S_09-15-20_XD2'!$B$190</definedName>
    <definedName name="rtimeD1_14_16" localSheetId="0">'Plan_K_N-S_09-15-20_XD2'!$B$184</definedName>
    <definedName name="rtimeD1_14_16">#REF!</definedName>
    <definedName name="rtimeD1_15">'Plan_K_N-S_09-15-20_XD2'!$B$189</definedName>
    <definedName name="rtimeD1_16">'Plan_K_N-S_09-15-20_XD2'!$B$188</definedName>
    <definedName name="rtimeD1_17">'Plan_K_N-S_09-15-20_XD2'!$B$187</definedName>
    <definedName name="rtimeD1_17_19" localSheetId="0">'Plan_K_N-S_09-15-20_XD2'!$B$185</definedName>
    <definedName name="rtimeD1_17_19">#REF!</definedName>
    <definedName name="rtimeD1_18_19" localSheetId="0">#REF!</definedName>
    <definedName name="rtimeD1_18_19">#REF!</definedName>
    <definedName name="rtimeD1_21_25" localSheetId="0">'Plan_K_N-S_09-15-20_XD2'!$B$186</definedName>
    <definedName name="rtimeD1_21_25">#REF!</definedName>
    <definedName name="rtimeD1_5_7" localSheetId="0">'Plan_K_N-S_09-15-20_XD2'!$B$181</definedName>
    <definedName name="rtimeD1_5_7">#REF!</definedName>
    <definedName name="rtimeD1_8_10" localSheetId="0">'Plan_K_N-S_09-15-20_XD2'!$B$182</definedName>
    <definedName name="rtimeD1_8_10">#REF!</definedName>
    <definedName name="rtimeD2_1_3" localSheetId="0">'Plan_K_N-S_09-15-20_XD2'!$B$195</definedName>
    <definedName name="rtimeD2_1_3">#REF!</definedName>
    <definedName name="rtimeD2_11_12" localSheetId="0">'Plan_K_N-S_09-15-20_XD2'!$B$201</definedName>
    <definedName name="rtimeD2_11_12">#REF!</definedName>
    <definedName name="rtimeD2_4_5" localSheetId="0">'Plan_K_N-S_09-15-20_XD2'!$B$196</definedName>
    <definedName name="rtimeD2_4_5">#REF!</definedName>
    <definedName name="rtimeD2_6" localSheetId="0">'Plan_K_N-S_09-15-20_XD2'!$B$197</definedName>
    <definedName name="rtimeD2_6">#REF!</definedName>
    <definedName name="rtimeD2_7" localSheetId="0">'Plan_K_N-S_09-15-20_XD2'!$B$198</definedName>
    <definedName name="rtimeD2_7">#REF!</definedName>
    <definedName name="rtimeD2_8_10" localSheetId="0">'Plan_K_N-S_09-15-20_XD2'!$B$199</definedName>
    <definedName name="rtimeD2_8_10">#REF!</definedName>
    <definedName name="speed" localSheetId="1">#REF!</definedName>
    <definedName name="speed" localSheetId="0">#REF!</definedName>
    <definedName name="speed">#REF!</definedName>
    <definedName name="tech_hrs_D1" localSheetId="1">#REF!</definedName>
    <definedName name="tech_hrs_D1" localSheetId="0">'Plan_K_N-S_09-15-20_XD2'!$E$157</definedName>
    <definedName name="tech_hrs_D1">#REF!</definedName>
    <definedName name="teth_aleut" localSheetId="1">#REF!</definedName>
    <definedName name="teth_aleut" localSheetId="0">'Plan_K_N-S_09-15-20_XD2'!$E$159</definedName>
    <definedName name="teth_aleut">#REF!</definedName>
    <definedName name="teth_dep" localSheetId="1">#REF!</definedName>
    <definedName name="teth_dep" localSheetId="0">'Plan_K_N-S_09-15-20_XD2'!$E$146</definedName>
    <definedName name="teth_dep">#REF!</definedName>
    <definedName name="teth_hrs_D1" localSheetId="1">#REF!</definedName>
    <definedName name="teth_hrs_D1" localSheetId="0">'Plan_K_N-S_09-15-20_XD2'!$E$157</definedName>
    <definedName name="teth_hrs_D1">#REF!</definedName>
    <definedName name="teth_hrs_D2" localSheetId="1">#REF!</definedName>
    <definedName name="teth_hrs_D2" localSheetId="0">'Plan_K_N-S_09-15-20_XD2'!$E$158</definedName>
    <definedName name="teth_hrs_D2">#REF!</definedName>
    <definedName name="TR" localSheetId="0">'Plan_K_N-S_09-15-20_XD2'!$D$222</definedName>
    <definedName name="TR">#REF!</definedName>
    <definedName name="transit" localSheetId="1">#REF!</definedName>
    <definedName name="transit" localSheetId="0">'Plan_K_N-S_09-15-20_XD2'!$E$142</definedName>
    <definedName name="transit">#REF!</definedName>
    <definedName name="Um" localSheetId="0">'Plan_K_N-S_09-15-20_XD2'!$H$222</definedName>
    <definedName name="Um">#REF!</definedName>
    <definedName name="Um_old" localSheetId="1">#REF!</definedName>
    <definedName name="Um_old" localSheetId="0">#REF!</definedName>
    <definedName name="Um_old">#REF!</definedName>
    <definedName name="Uw" localSheetId="0">'Plan_K_N-S_09-15-20_XD2'!$G$222</definedName>
    <definedName name="Uw">#REF!</definedName>
    <definedName name="Vm" localSheetId="0">'Plan_K_N-S_09-15-20_XD2'!$F$222</definedName>
    <definedName name="Vm">#REF!</definedName>
    <definedName name="Vw" localSheetId="0">'Plan_K_N-S_09-15-20_XD2'!$E$222</definedName>
    <definedName name="Vw">#REF!</definedName>
    <definedName name="whoi_dep_cost" localSheetId="1">#REF!</definedName>
    <definedName name="whoi_dep_cost" localSheetId="0">#REF!</definedName>
    <definedName name="whoi_dep_cost">#REF!</definedName>
    <definedName name="whoi_mob_demob" localSheetId="1">#REF!</definedName>
    <definedName name="whoi_mob_demob" localSheetId="0">#REF!</definedName>
    <definedName name="whoi_mob_demob">#REF!</definedName>
    <definedName name="whoi_true_cost" localSheetId="1">#REF!</definedName>
    <definedName name="whoi_true_cost" localSheetId="0">#REF!</definedName>
    <definedName name="whoi_true_cost">#REF!</definedName>
    <definedName name="wire" localSheetId="1">#REF!</definedName>
    <definedName name="wire" localSheetId="0">'Plan_K_N-S_09-15-20_XD2'!$E$154</definedName>
    <definedName name="wire">#REF!</definedName>
    <definedName name="X" localSheetId="0">'Plan_K_N-S_09-15-20_XD2'!$B$222</definedName>
    <definedName name="X">#REF!</definedName>
    <definedName name="X_line_km" localSheetId="1">#REF!</definedName>
    <definedName name="X_line_km" localSheetId="0">#REF!</definedName>
    <definedName name="X_line_km">#REF!</definedName>
    <definedName name="XR" localSheetId="0">'Plan_K_N-S_09-15-20_XD2'!$C$222</definedName>
    <definedName name="XR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6" i="1" l="1"/>
  <c r="K76" i="7"/>
  <c r="K75" i="7"/>
  <c r="K74" i="7"/>
  <c r="K68" i="7"/>
  <c r="K67" i="7"/>
  <c r="K66" i="7"/>
  <c r="K65" i="7"/>
  <c r="K50" i="7"/>
  <c r="K49" i="7"/>
  <c r="K48" i="7"/>
  <c r="K47" i="7"/>
  <c r="K37" i="7"/>
  <c r="K36" i="7"/>
  <c r="K35" i="7"/>
  <c r="K34" i="7"/>
  <c r="H222" i="1"/>
  <c r="G222" i="1"/>
  <c r="H219" i="1"/>
  <c r="F216" i="1"/>
  <c r="E213" i="1"/>
  <c r="D213" i="1"/>
  <c r="C213" i="1"/>
  <c r="B205" i="1"/>
  <c r="B195" i="1" s="1"/>
  <c r="H201" i="1"/>
  <c r="H200" i="1"/>
  <c r="H199" i="1"/>
  <c r="H198" i="1"/>
  <c r="B198" i="1" s="1"/>
  <c r="H197" i="1"/>
  <c r="H196" i="1"/>
  <c r="H195" i="1"/>
  <c r="H193" i="1"/>
  <c r="B193" i="1" s="1"/>
  <c r="H192" i="1"/>
  <c r="B192" i="1" s="1"/>
  <c r="H84" i="1" s="1"/>
  <c r="I84" i="1" s="1"/>
  <c r="H191" i="1"/>
  <c r="H190" i="1"/>
  <c r="B190" i="1"/>
  <c r="H80" i="1"/>
  <c r="I80" i="1" s="1"/>
  <c r="H189" i="1"/>
  <c r="B189" i="1"/>
  <c r="H78" i="1" s="1"/>
  <c r="I78" i="1" s="1"/>
  <c r="H188" i="1"/>
  <c r="H187" i="1"/>
  <c r="B187" i="1" s="1"/>
  <c r="H185" i="1"/>
  <c r="H184" i="1"/>
  <c r="H183" i="1"/>
  <c r="H182" i="1"/>
  <c r="H181" i="1"/>
  <c r="H180" i="1"/>
  <c r="H179" i="1"/>
  <c r="B179" i="1"/>
  <c r="B178" i="1"/>
  <c r="B191" i="1" s="1"/>
  <c r="H82" i="1" s="1"/>
  <c r="I82" i="1" s="1"/>
  <c r="B177" i="1"/>
  <c r="B173" i="1"/>
  <c r="B172" i="1"/>
  <c r="B204" i="1" s="1"/>
  <c r="E151" i="1" s="1"/>
  <c r="B171" i="1"/>
  <c r="B203" i="1"/>
  <c r="B170" i="1"/>
  <c r="B202" i="1" s="1"/>
  <c r="E149" i="1" s="1"/>
  <c r="B169" i="1"/>
  <c r="B176" i="1"/>
  <c r="E148" i="1" s="1"/>
  <c r="E159" i="1"/>
  <c r="E158" i="1"/>
  <c r="E157" i="1"/>
  <c r="H42" i="1" s="1"/>
  <c r="E156" i="1"/>
  <c r="E146" i="1"/>
  <c r="E154" i="1"/>
  <c r="H12" i="1"/>
  <c r="I12" i="1" s="1"/>
  <c r="J149" i="1"/>
  <c r="E145" i="1"/>
  <c r="J140" i="1"/>
  <c r="J141" i="1" s="1"/>
  <c r="J142" i="1" s="1"/>
  <c r="J143" i="1" s="1"/>
  <c r="J144" i="1" s="1"/>
  <c r="J145" i="1" s="1"/>
  <c r="E138" i="1"/>
  <c r="H57" i="1" s="1"/>
  <c r="J133" i="1"/>
  <c r="I126" i="1"/>
  <c r="I125" i="1"/>
  <c r="I124" i="1"/>
  <c r="I116" i="1"/>
  <c r="H115" i="1"/>
  <c r="I115" i="1"/>
  <c r="M110" i="1"/>
  <c r="H91" i="1"/>
  <c r="I91" i="1" s="1"/>
  <c r="I90" i="1"/>
  <c r="I88" i="1"/>
  <c r="H53" i="1"/>
  <c r="I53" i="1" s="1"/>
  <c r="H46" i="1"/>
  <c r="I46" i="1" s="1"/>
  <c r="H27" i="1"/>
  <c r="I27" i="1" s="1"/>
  <c r="H25" i="1"/>
  <c r="I25" i="1" s="1"/>
  <c r="N23" i="1"/>
  <c r="N17" i="1"/>
  <c r="E14" i="1"/>
  <c r="E15" i="1"/>
  <c r="B14" i="1"/>
  <c r="H13" i="1"/>
  <c r="I13" i="1"/>
  <c r="E13" i="1"/>
  <c r="B13" i="1" s="1"/>
  <c r="K8" i="1"/>
  <c r="B175" i="1"/>
  <c r="B188" i="1"/>
  <c r="H76" i="1" s="1"/>
  <c r="I76" i="1" s="1"/>
  <c r="B197" i="1"/>
  <c r="B186" i="1"/>
  <c r="H79" i="1"/>
  <c r="K79" i="1" s="1"/>
  <c r="H98" i="1"/>
  <c r="H14" i="1"/>
  <c r="I14" i="1" s="1"/>
  <c r="H38" i="1"/>
  <c r="I38" i="1" s="1"/>
  <c r="H50" i="1"/>
  <c r="I50" i="1"/>
  <c r="H61" i="1"/>
  <c r="K61" i="1" s="1"/>
  <c r="H103" i="1"/>
  <c r="I103" i="1" s="1"/>
  <c r="H47" i="1"/>
  <c r="I47" i="1" s="1"/>
  <c r="H75" i="1"/>
  <c r="I75" i="1" s="1"/>
  <c r="B185" i="1"/>
  <c r="H72" i="1" s="1"/>
  <c r="I72" i="1" s="1"/>
  <c r="H85" i="1"/>
  <c r="H71" i="1"/>
  <c r="H22" i="1"/>
  <c r="K22" i="1" s="1"/>
  <c r="H117" i="1"/>
  <c r="I117" i="1" s="1"/>
  <c r="H109" i="1"/>
  <c r="I109" i="1" s="1"/>
  <c r="H101" i="1"/>
  <c r="I101" i="1" s="1"/>
  <c r="H69" i="1"/>
  <c r="I69" i="1" s="1"/>
  <c r="H104" i="1"/>
  <c r="I104" i="1" s="1"/>
  <c r="H81" i="1"/>
  <c r="K81" i="1" s="1"/>
  <c r="H107" i="1"/>
  <c r="I107" i="1" s="1"/>
  <c r="H97" i="1"/>
  <c r="I97" i="1" s="1"/>
  <c r="H77" i="1"/>
  <c r="H33" i="1"/>
  <c r="E150" i="1"/>
  <c r="B183" i="1"/>
  <c r="E147" i="1"/>
  <c r="H37" i="1" s="1"/>
  <c r="I37" i="1" s="1"/>
  <c r="B180" i="1"/>
  <c r="H54" i="1"/>
  <c r="I54" i="1" s="1"/>
  <c r="B182" i="1"/>
  <c r="H62" i="1" s="1"/>
  <c r="I62" i="1" s="1"/>
  <c r="B201" i="1"/>
  <c r="B181" i="1"/>
  <c r="B184" i="1"/>
  <c r="B196" i="1"/>
  <c r="B199" i="1"/>
  <c r="K69" i="1"/>
  <c r="H70" i="1"/>
  <c r="I70" i="1" s="1"/>
  <c r="K101" i="1"/>
  <c r="K117" i="1"/>
  <c r="K77" i="1"/>
  <c r="I77" i="1"/>
  <c r="I85" i="1"/>
  <c r="K85" i="1"/>
  <c r="K75" i="1"/>
  <c r="H21" i="1"/>
  <c r="I21" i="1"/>
  <c r="H39" i="1"/>
  <c r="I39" i="1" s="1"/>
  <c r="H23" i="1"/>
  <c r="I23" i="1" s="1"/>
  <c r="H19" i="1"/>
  <c r="I19" i="1" s="1"/>
  <c r="H24" i="1"/>
  <c r="I24" i="1"/>
  <c r="H15" i="1"/>
  <c r="I42" i="1"/>
  <c r="H18" i="1"/>
  <c r="I18" i="1" s="1"/>
  <c r="H44" i="1"/>
  <c r="I44" i="1" s="1"/>
  <c r="H60" i="1"/>
  <c r="I60" i="1"/>
  <c r="E16" i="1"/>
  <c r="B16" i="1" s="1"/>
  <c r="B15" i="1"/>
  <c r="I222" i="1"/>
  <c r="J222" i="1" s="1"/>
  <c r="E17" i="1"/>
  <c r="E18" i="1" s="1"/>
  <c r="I15" i="1"/>
  <c r="B17" i="1"/>
  <c r="K33" i="1" l="1"/>
  <c r="I33" i="1"/>
  <c r="B18" i="1"/>
  <c r="E19" i="1"/>
  <c r="K57" i="1"/>
  <c r="I57" i="1"/>
  <c r="I71" i="1"/>
  <c r="K71" i="1"/>
  <c r="H64" i="1"/>
  <c r="I64" i="1" s="1"/>
  <c r="H56" i="1"/>
  <c r="I56" i="1" s="1"/>
  <c r="K38" i="1"/>
  <c r="H36" i="1"/>
  <c r="I36" i="1" s="1"/>
  <c r="H94" i="1"/>
  <c r="I94" i="1" s="1"/>
  <c r="H95" i="1"/>
  <c r="H26" i="1"/>
  <c r="I26" i="1" s="1"/>
  <c r="I22" i="1"/>
  <c r="H48" i="1"/>
  <c r="I48" i="1" s="1"/>
  <c r="H74" i="1"/>
  <c r="I74" i="1" s="1"/>
  <c r="K62" i="1"/>
  <c r="H111" i="1"/>
  <c r="I111" i="1" s="1"/>
  <c r="H55" i="1"/>
  <c r="I55" i="1" s="1"/>
  <c r="K124" i="1"/>
  <c r="K125" i="1" s="1"/>
  <c r="K126" i="1" s="1"/>
  <c r="H118" i="1"/>
  <c r="I118" i="1" s="1"/>
  <c r="H68" i="1"/>
  <c r="I68" i="1" s="1"/>
  <c r="H66" i="1"/>
  <c r="I66" i="1" s="1"/>
  <c r="I81" i="1"/>
  <c r="H86" i="1"/>
  <c r="I86" i="1" s="1"/>
  <c r="I79" i="1"/>
  <c r="H28" i="1"/>
  <c r="I28" i="1" s="1"/>
  <c r="H32" i="1"/>
  <c r="I32" i="1" s="1"/>
  <c r="H52" i="1"/>
  <c r="H65" i="1"/>
  <c r="H93" i="1"/>
  <c r="I93" i="1" s="1"/>
  <c r="H96" i="1"/>
  <c r="I96" i="1" s="1"/>
  <c r="H9" i="1"/>
  <c r="H49" i="1"/>
  <c r="H87" i="1"/>
  <c r="I87" i="1" s="1"/>
  <c r="H110" i="1"/>
  <c r="H41" i="1"/>
  <c r="H63" i="1"/>
  <c r="I63" i="1" s="1"/>
  <c r="H17" i="1"/>
  <c r="I17" i="1" s="1"/>
  <c r="H106" i="1"/>
  <c r="H73" i="1"/>
  <c r="H113" i="1"/>
  <c r="I113" i="1" s="1"/>
  <c r="H108" i="1"/>
  <c r="I108" i="1" s="1"/>
  <c r="H92" i="1"/>
  <c r="H51" i="1"/>
  <c r="I51" i="1" s="1"/>
  <c r="H114" i="1"/>
  <c r="I114" i="1" s="1"/>
  <c r="H99" i="1"/>
  <c r="I99" i="1" s="1"/>
  <c r="H112" i="1"/>
  <c r="I112" i="1" s="1"/>
  <c r="H100" i="1"/>
  <c r="I100" i="1" s="1"/>
  <c r="H83" i="1"/>
  <c r="H67" i="1"/>
  <c r="H20" i="1"/>
  <c r="H89" i="1"/>
  <c r="I89" i="1" s="1"/>
  <c r="H105" i="1"/>
  <c r="I105" i="1" s="1"/>
  <c r="H35" i="1"/>
  <c r="I35" i="1" s="1"/>
  <c r="H29" i="1"/>
  <c r="I29" i="1" s="1"/>
  <c r="I61" i="1"/>
  <c r="H30" i="1"/>
  <c r="I30" i="1" s="1"/>
  <c r="H31" i="1"/>
  <c r="I31" i="1" s="1"/>
  <c r="H58" i="1"/>
  <c r="I58" i="1" s="1"/>
  <c r="H40" i="1"/>
  <c r="I40" i="1" s="1"/>
  <c r="H59" i="1"/>
  <c r="H102" i="1"/>
  <c r="I102" i="1" s="1"/>
  <c r="H16" i="1"/>
  <c r="I16" i="1" s="1"/>
  <c r="F213" i="1"/>
  <c r="H213" i="1" s="1"/>
  <c r="H34" i="1"/>
  <c r="I34" i="1" s="1"/>
  <c r="I98" i="1"/>
  <c r="K98" i="1"/>
  <c r="H45" i="1"/>
  <c r="I45" i="1" s="1"/>
  <c r="H43" i="1"/>
  <c r="I43" i="1" s="1"/>
  <c r="B200" i="1"/>
  <c r="K95" i="1" l="1"/>
  <c r="K96" i="1" s="1"/>
  <c r="I95" i="1"/>
  <c r="I106" i="1"/>
  <c r="K106" i="1"/>
  <c r="I110" i="1"/>
  <c r="K110" i="1"/>
  <c r="K41" i="1"/>
  <c r="K42" i="1" s="1"/>
  <c r="K43" i="1" s="1"/>
  <c r="K44" i="1" s="1"/>
  <c r="K45" i="1" s="1"/>
  <c r="K46" i="1" s="1"/>
  <c r="I41" i="1"/>
  <c r="K102" i="1"/>
  <c r="I49" i="1"/>
  <c r="K49" i="1"/>
  <c r="I67" i="1"/>
  <c r="K67" i="1"/>
  <c r="J9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H127" i="1"/>
  <c r="G129" i="1" s="1"/>
  <c r="I9" i="1"/>
  <c r="B132" i="1"/>
  <c r="I65" i="1"/>
  <c r="K65" i="1"/>
  <c r="I52" i="1"/>
  <c r="K52" i="1"/>
  <c r="K53" i="1" s="1"/>
  <c r="K54" i="1" s="1"/>
  <c r="I20" i="1"/>
  <c r="K20" i="1"/>
  <c r="K83" i="1"/>
  <c r="I83" i="1"/>
  <c r="K63" i="1"/>
  <c r="E20" i="1"/>
  <c r="B19" i="1"/>
  <c r="K92" i="1"/>
  <c r="K93" i="1" s="1"/>
  <c r="I92" i="1"/>
  <c r="K9" i="1"/>
  <c r="K12" i="1" s="1"/>
  <c r="K13" i="1" s="1"/>
  <c r="K14" i="1" s="1"/>
  <c r="I59" i="1"/>
  <c r="K59" i="1"/>
  <c r="I73" i="1"/>
  <c r="K73" i="1"/>
  <c r="B133" i="1" l="1"/>
  <c r="J50" i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24" i="1" s="1"/>
  <c r="J125" i="1" s="1"/>
  <c r="J126" i="1" s="1"/>
  <c r="J51" i="1"/>
  <c r="E21" i="1"/>
  <c r="B20" i="1"/>
  <c r="E22" i="1" l="1"/>
  <c r="B21" i="1"/>
  <c r="B22" i="1" l="1"/>
  <c r="E23" i="1"/>
  <c r="B23" i="1" l="1"/>
  <c r="E24" i="1"/>
  <c r="B24" i="1" l="1"/>
  <c r="E25" i="1"/>
  <c r="E26" i="1" l="1"/>
  <c r="B25" i="1"/>
  <c r="E27" i="1" l="1"/>
  <c r="B26" i="1"/>
  <c r="E28" i="1" l="1"/>
  <c r="B27" i="1"/>
  <c r="E29" i="1" l="1"/>
  <c r="B28" i="1"/>
  <c r="B29" i="1" l="1"/>
  <c r="E30" i="1"/>
  <c r="E31" i="1" l="1"/>
  <c r="B30" i="1"/>
  <c r="B31" i="1" l="1"/>
  <c r="E32" i="1"/>
  <c r="B32" i="1" l="1"/>
  <c r="E33" i="1"/>
  <c r="B33" i="1" l="1"/>
  <c r="E34" i="1"/>
  <c r="E35" i="1" l="1"/>
  <c r="B34" i="1"/>
  <c r="B35" i="1" l="1"/>
  <c r="E36" i="1"/>
  <c r="B36" i="1" l="1"/>
  <c r="E37" i="1"/>
  <c r="B37" i="1" l="1"/>
  <c r="E38" i="1"/>
  <c r="E39" i="1" l="1"/>
  <c r="B38" i="1"/>
  <c r="E40" i="1" l="1"/>
  <c r="B39" i="1"/>
  <c r="E41" i="1" l="1"/>
  <c r="B40" i="1"/>
  <c r="E42" i="1" l="1"/>
  <c r="B41" i="1"/>
  <c r="E43" i="1" l="1"/>
  <c r="B42" i="1"/>
  <c r="B43" i="1" l="1"/>
  <c r="E44" i="1"/>
  <c r="E45" i="1" l="1"/>
  <c r="E48" i="1"/>
  <c r="B48" i="1" s="1"/>
  <c r="B44" i="1"/>
  <c r="E47" i="1" l="1"/>
  <c r="B47" i="1" s="1"/>
  <c r="E49" i="1"/>
  <c r="B49" i="1" s="1"/>
  <c r="E50" i="1"/>
  <c r="B50" i="1" s="1"/>
  <c r="E46" i="1"/>
  <c r="B45" i="1"/>
  <c r="E51" i="1"/>
  <c r="B51" i="1" s="1"/>
  <c r="E52" i="1" l="1"/>
  <c r="B46" i="1"/>
  <c r="B52" i="1" l="1"/>
  <c r="E53" i="1"/>
  <c r="E54" i="1" l="1"/>
  <c r="B53" i="1"/>
  <c r="B54" i="1" l="1"/>
  <c r="E55" i="1"/>
  <c r="E56" i="1" l="1"/>
  <c r="B55" i="1"/>
  <c r="E57" i="1" l="1"/>
  <c r="B56" i="1"/>
  <c r="B57" i="1" l="1"/>
  <c r="E58" i="1"/>
  <c r="E59" i="1" l="1"/>
  <c r="B58" i="1"/>
  <c r="B59" i="1" l="1"/>
  <c r="E60" i="1"/>
  <c r="B60" i="1" l="1"/>
  <c r="E61" i="1"/>
  <c r="E62" i="1" l="1"/>
  <c r="B61" i="1"/>
  <c r="E63" i="1" l="1"/>
  <c r="B62" i="1"/>
  <c r="E64" i="1" l="1"/>
  <c r="B63" i="1"/>
  <c r="B64" i="1" l="1"/>
  <c r="E65" i="1"/>
  <c r="B65" i="1" l="1"/>
  <c r="E66" i="1"/>
  <c r="B66" i="1" l="1"/>
  <c r="E67" i="1"/>
  <c r="E68" i="1" l="1"/>
  <c r="B67" i="1"/>
  <c r="E69" i="1" l="1"/>
  <c r="B68" i="1"/>
  <c r="E70" i="1" l="1"/>
  <c r="B69" i="1"/>
  <c r="E71" i="1" l="1"/>
  <c r="B70" i="1"/>
  <c r="E72" i="1" l="1"/>
  <c r="B71" i="1"/>
  <c r="E73" i="1" l="1"/>
  <c r="B72" i="1"/>
  <c r="E74" i="1" l="1"/>
  <c r="B73" i="1"/>
  <c r="B74" i="1" l="1"/>
  <c r="E75" i="1"/>
  <c r="E76" i="1" l="1"/>
  <c r="B75" i="1"/>
  <c r="B76" i="1" l="1"/>
  <c r="E77" i="1"/>
  <c r="E78" i="1" l="1"/>
  <c r="B77" i="1"/>
  <c r="E79" i="1" l="1"/>
  <c r="B78" i="1"/>
  <c r="B79" i="1" l="1"/>
  <c r="E80" i="1"/>
  <c r="E81" i="1" l="1"/>
  <c r="B80" i="1"/>
  <c r="E82" i="1" l="1"/>
  <c r="B81" i="1"/>
  <c r="B82" i="1" l="1"/>
  <c r="E83" i="1"/>
  <c r="B83" i="1" l="1"/>
  <c r="E84" i="1"/>
  <c r="E85" i="1" l="1"/>
  <c r="B84" i="1"/>
  <c r="E86" i="1" l="1"/>
  <c r="B85" i="1"/>
  <c r="E87" i="1" l="1"/>
  <c r="B86" i="1"/>
  <c r="B87" i="1" l="1"/>
  <c r="E118" i="1"/>
  <c r="B118" i="1" l="1"/>
  <c r="E88" i="1"/>
  <c r="B88" i="1" l="1"/>
  <c r="E89" i="1"/>
  <c r="E90" i="1" l="1"/>
  <c r="B89" i="1"/>
  <c r="E91" i="1" l="1"/>
  <c r="B90" i="1"/>
  <c r="B91" i="1" l="1"/>
  <c r="E92" i="1"/>
  <c r="E98" i="1" l="1"/>
  <c r="B92" i="1"/>
  <c r="E93" i="1"/>
  <c r="E94" i="1" l="1"/>
  <c r="B93" i="1"/>
  <c r="B98" i="1"/>
  <c r="E99" i="1"/>
  <c r="B99" i="1" l="1"/>
  <c r="E100" i="1"/>
  <c r="B94" i="1"/>
  <c r="E95" i="1"/>
  <c r="E96" i="1" l="1"/>
  <c r="B95" i="1"/>
  <c r="B100" i="1"/>
  <c r="E101" i="1"/>
  <c r="E102" i="1" l="1"/>
  <c r="B101" i="1"/>
  <c r="B96" i="1"/>
  <c r="E97" i="1"/>
  <c r="B97" i="1" s="1"/>
  <c r="E103" i="1" l="1"/>
  <c r="B102" i="1"/>
  <c r="B103" i="1" l="1"/>
  <c r="E115" i="1"/>
  <c r="B115" i="1" s="1"/>
  <c r="E104" i="1"/>
  <c r="E105" i="1" l="1"/>
  <c r="B104" i="1"/>
  <c r="B105" i="1" l="1"/>
  <c r="E106" i="1"/>
  <c r="B106" i="1" l="1"/>
  <c r="E107" i="1"/>
  <c r="B107" i="1" l="1"/>
  <c r="E108" i="1"/>
  <c r="B108" i="1" l="1"/>
  <c r="E109" i="1"/>
  <c r="E116" i="1" l="1"/>
  <c r="B116" i="1" s="1"/>
  <c r="E110" i="1"/>
  <c r="B109" i="1"/>
  <c r="E111" i="1" l="1"/>
  <c r="B110" i="1"/>
  <c r="B111" i="1" l="1"/>
  <c r="E112" i="1"/>
  <c r="B112" i="1" s="1"/>
  <c r="E113" i="1"/>
  <c r="E114" i="1" l="1"/>
  <c r="B114" i="1" s="1"/>
  <c r="B113" i="1"/>
</calcChain>
</file>

<file path=xl/sharedStrings.xml><?xml version="1.0" encoding="utf-8"?>
<sst xmlns="http://schemas.openxmlformats.org/spreadsheetml/2006/main" count="413" uniqueCount="314">
  <si>
    <t>Operations start time</t>
  </si>
  <si>
    <t xml:space="preserve">Update time: </t>
  </si>
  <si>
    <t xml:space="preserve">  9/14/2020  09:06:00 AM</t>
  </si>
  <si>
    <t>Distance</t>
  </si>
  <si>
    <t>Time</t>
  </si>
  <si>
    <t>Cumulative</t>
  </si>
  <si>
    <t>Langseth</t>
  </si>
  <si>
    <t>#</t>
  </si>
  <si>
    <t>#teth</t>
  </si>
  <si>
    <t>(km)</t>
  </si>
  <si>
    <t>(Days)</t>
  </si>
  <si>
    <t>(Hours)</t>
  </si>
  <si>
    <t>Days</t>
  </si>
  <si>
    <t>Date</t>
  </si>
  <si>
    <t xml:space="preserve">   Depart</t>
  </si>
  <si>
    <t>SP wet</t>
  </si>
  <si>
    <t>Dep</t>
  </si>
  <si>
    <t>Rec</t>
  </si>
  <si>
    <t>SP dry</t>
  </si>
  <si>
    <t>1h turn</t>
  </si>
  <si>
    <t xml:space="preserve">   Transit Ketchikan to Rosette</t>
  </si>
  <si>
    <t>(gun maintenance in turns)</t>
  </si>
  <si>
    <t>locks</t>
  </si>
  <si>
    <t xml:space="preserve">   Rosette test </t>
  </si>
  <si>
    <t xml:space="preserve">  Change to Adak time (-1hr)</t>
  </si>
  <si>
    <t xml:space="preserve">   Transit Rosette to S1_E </t>
  </si>
  <si>
    <t xml:space="preserve">   Deploy S1 e-w (1-2) transit to S1(3)</t>
  </si>
  <si>
    <t xml:space="preserve">  9/7/2020  9:35:00 AM</t>
  </si>
  <si>
    <t xml:space="preserve">   Deploy S1 e-w (3-8)</t>
  </si>
  <si>
    <t xml:space="preserve">  9/7/2020  2:18:00 PM</t>
  </si>
  <si>
    <t xml:space="preserve">   Transit to  D1(8)</t>
  </si>
  <si>
    <t xml:space="preserve">  9/7/2020  7:00:00 PM</t>
  </si>
  <si>
    <t xml:space="preserve">   Deploy D1(8,9) S1 (9,10,11)  transit to S1(12)</t>
  </si>
  <si>
    <t xml:space="preserve">  9/8/2020  12:10:00 AM</t>
  </si>
  <si>
    <t xml:space="preserve">   Deploy S1 (12-18)</t>
  </si>
  <si>
    <t xml:space="preserve">  9/8/2020  05:39:00 AM</t>
  </si>
  <si>
    <t xml:space="preserve">   Transit to D2(6) </t>
  </si>
  <si>
    <t xml:space="preserve">   Deploy D2(6) S1(19,20,21,22)</t>
  </si>
  <si>
    <t xml:space="preserve">  9/8/2020  01:28:00 PM</t>
  </si>
  <si>
    <t xml:space="preserve">   Transit to S1(23)</t>
  </si>
  <si>
    <t xml:space="preserve">   Deploy S1(23,24,25,26,27) transit to S1(28)</t>
  </si>
  <si>
    <t xml:space="preserve">  9/8/2020  11:55:00 PM</t>
  </si>
  <si>
    <t xml:space="preserve">   Deploy S1(28,29,30)</t>
  </si>
  <si>
    <t xml:space="preserve">  9/9/2020  02:31:00 AM</t>
  </si>
  <si>
    <t xml:space="preserve">   Deploy Guns, turn around, come online</t>
  </si>
  <si>
    <t xml:space="preserve">  9/9/2020  10:31:00 AM</t>
  </si>
  <si>
    <t xml:space="preserve">   Shoot Line S1 OBS W to E</t>
  </si>
  <si>
    <t xml:space="preserve">  9/12/2020  2:33:00 AM</t>
  </si>
  <si>
    <t xml:space="preserve">   Recover guns</t>
  </si>
  <si>
    <t xml:space="preserve">  9/12/2020  4:23:00 AM</t>
  </si>
  <si>
    <t xml:space="preserve">   Recover S1 e-w (1-2) transit to S1(3)</t>
  </si>
  <si>
    <t xml:space="preserve">  9/12/2020  9:15:00 AM</t>
  </si>
  <si>
    <t xml:space="preserve">   Recover S1 (3-8)</t>
  </si>
  <si>
    <t xml:space="preserve">  9/12/2020  4:35:00 PM</t>
  </si>
  <si>
    <t xml:space="preserve">   Transit to S1 8 to 9</t>
  </si>
  <si>
    <t xml:space="preserve">  9/12/2020  9:18:00 PM</t>
  </si>
  <si>
    <t xml:space="preserve">   Recover S1 (9,10) </t>
  </si>
  <si>
    <t xml:space="preserve">  9/13/2020  12:24:00 AM</t>
  </si>
  <si>
    <t xml:space="preserve">   Recover S1 (13 to 18)</t>
  </si>
  <si>
    <t xml:space="preserve">  9/13/2020  08:04:00 AM</t>
  </si>
  <si>
    <t xml:space="preserve">   Transit to  D2(6)</t>
  </si>
  <si>
    <t xml:space="preserve">   Recover  D2(6), S1(19,20,21,22) </t>
  </si>
  <si>
    <t xml:space="preserve">  9/13/2020  05:29:00 PM</t>
  </si>
  <si>
    <t xml:space="preserve">   Transit to S1(22) to S1(23)</t>
  </si>
  <si>
    <t xml:space="preserve">  9/13/2020  07:22:00 PM</t>
  </si>
  <si>
    <t xml:space="preserve">   Recover S1(23,24,25,26,27) transit to S1(28)</t>
  </si>
  <si>
    <t xml:space="preserve">  9/14/2020  05:23:00 AM</t>
  </si>
  <si>
    <t xml:space="preserve">   Recover S1 (28,29,30) </t>
  </si>
  <si>
    <t xml:space="preserve">   Transit S1_W to D1(1)</t>
  </si>
  <si>
    <t xml:space="preserve">   Deploy D1 n-s (1-4) transit to D1(5)</t>
  </si>
  <si>
    <t xml:space="preserve">  9/15/2020  06:50:00 AM</t>
  </si>
  <si>
    <t xml:space="preserve">   Deploy D1 n-s (5-7) transit to D1(8)</t>
  </si>
  <si>
    <t xml:space="preserve">  9/15/2020  10:48:00 AM</t>
  </si>
  <si>
    <t xml:space="preserve">   Transit D1_8 to D1_11 </t>
  </si>
  <si>
    <t xml:space="preserve">   Deploy D1 n-s (11,12,13) transit to D1(14)</t>
  </si>
  <si>
    <t xml:space="preserve">   Deploy D1 n-s (14,15,16) transit to D1(17)</t>
  </si>
  <si>
    <t xml:space="preserve">   Deploy D1 n-s (17,18,19) </t>
  </si>
  <si>
    <t xml:space="preserve">   Deploy D1 n-s (21,23,25)</t>
  </si>
  <si>
    <t xml:space="preserve">   Deploy Guns/ turn around</t>
  </si>
  <si>
    <t xml:space="preserve">   Shoot D1 run-in to D19 </t>
  </si>
  <si>
    <t xml:space="preserve">  9/16/2020  4:45:00 AM</t>
  </si>
  <si>
    <t xml:space="preserve">   Shoot D1 OBS D1(19) to D1(16) + compressor maint</t>
  </si>
  <si>
    <t xml:space="preserve">  9/16/2020  11:35:00 AM</t>
  </si>
  <si>
    <t xml:space="preserve">   Shoot D1 OBS D1(16) to D1(11)</t>
  </si>
  <si>
    <t xml:space="preserve">   Shoot D1 OBS D1(11) to S1(11) </t>
  </si>
  <si>
    <t xml:space="preserve">  9/17/2020  7:15:00 AM</t>
  </si>
  <si>
    <t xml:space="preserve">   Shoot D1 OBS S1(11) to D1(5) </t>
  </si>
  <si>
    <t xml:space="preserve">  9/17/2020  2:05:00 PM</t>
  </si>
  <si>
    <t xml:space="preserve">   Shoot D1 OBS D1(5) to D1(1) </t>
  </si>
  <si>
    <t xml:space="preserve">   Recover D1 n-s (1-4) </t>
  </si>
  <si>
    <t xml:space="preserve">   Transit to D1(4) to D1(5)</t>
  </si>
  <si>
    <t xml:space="preserve">  9/18/2020  8:26:00 AM</t>
  </si>
  <si>
    <t xml:space="preserve">   Recover D1(5)</t>
  </si>
  <si>
    <t xml:space="preserve">  9/18/2020  9:35:00 AM</t>
  </si>
  <si>
    <t xml:space="preserve">   Transit to D1(5) to D1(6)</t>
  </si>
  <si>
    <t xml:space="preserve">   Recover D1(6)</t>
  </si>
  <si>
    <t xml:space="preserve">  9/18/2020  11:35:00 AM</t>
  </si>
  <si>
    <t xml:space="preserve">   Transit D1(6) to  D1(7)</t>
  </si>
  <si>
    <t xml:space="preserve">   Recover D1(7)</t>
  </si>
  <si>
    <t xml:space="preserve">  9/18/2020  1:20:00 PM</t>
  </si>
  <si>
    <t xml:space="preserve">   Transit D1(7) to  D1(8)</t>
  </si>
  <si>
    <t xml:space="preserve">   Recover D1(8)</t>
  </si>
  <si>
    <t xml:space="preserve">   Transit D1(8) to D1(9)</t>
  </si>
  <si>
    <t xml:space="preserve">   Recover D1(9)</t>
  </si>
  <si>
    <t xml:space="preserve">  9/18/2020  4:30:00 PM</t>
  </si>
  <si>
    <t xml:space="preserve">   Transit D1(9) to S1(11)</t>
  </si>
  <si>
    <t xml:space="preserve">   Recover S1(11)</t>
  </si>
  <si>
    <t xml:space="preserve">  9/18/2020  5:40:00 PM</t>
  </si>
  <si>
    <t xml:space="preserve">   Transit S1(11) to S1(12)</t>
  </si>
  <si>
    <t xml:space="preserve">   Recover S1(12)</t>
  </si>
  <si>
    <t xml:space="preserve">  9/18/2020  6:35:00 PM</t>
  </si>
  <si>
    <t xml:space="preserve">   Transit S1(12) to D1(19)</t>
  </si>
  <si>
    <t xml:space="preserve">   Recover D1(19)</t>
  </si>
  <si>
    <t xml:space="preserve">  9/19/2020  6:50:00 AM</t>
  </si>
  <si>
    <t>No response</t>
  </si>
  <si>
    <t xml:space="preserve">   Transit D1(19) to  D1(18)</t>
  </si>
  <si>
    <t xml:space="preserve">   Recover D1(18)</t>
  </si>
  <si>
    <t xml:space="preserve">  9/19/2020  9:30:00 AM</t>
  </si>
  <si>
    <t xml:space="preserve">   Transit D1(18) to D1(17)</t>
  </si>
  <si>
    <t xml:space="preserve">   Recover D1(17) </t>
  </si>
  <si>
    <t xml:space="preserve">  9/19/2020  12:00:00 PM</t>
  </si>
  <si>
    <t xml:space="preserve">   Transit D1(17) to D1(16)</t>
  </si>
  <si>
    <t xml:space="preserve">   Recover D1(16)</t>
  </si>
  <si>
    <t xml:space="preserve">  9/19/2020  2:25:00 PM</t>
  </si>
  <si>
    <t xml:space="preserve">   Transit D1(16) to D1(15)</t>
  </si>
  <si>
    <t xml:space="preserve">   Recover D1(15)</t>
  </si>
  <si>
    <t xml:space="preserve">   Transit D1(15) to D1(14)</t>
  </si>
  <si>
    <t xml:space="preserve">   Recover D1(14)</t>
  </si>
  <si>
    <t xml:space="preserve">   Transit D1(14) to D1(13)</t>
  </si>
  <si>
    <t xml:space="preserve">   Recover D1(13) </t>
  </si>
  <si>
    <t xml:space="preserve">   Transit D1(13) to D1(12)</t>
  </si>
  <si>
    <t xml:space="preserve">   Recover D1(12) </t>
  </si>
  <si>
    <t xml:space="preserve">   Transit D1(12) to D1(11)</t>
  </si>
  <si>
    <t xml:space="preserve">   Recover D1(11) </t>
  </si>
  <si>
    <t xml:space="preserve">   Transit to D1_S to Dutch</t>
  </si>
  <si>
    <t>To Dutch from D1_S (675)</t>
  </si>
  <si>
    <t xml:space="preserve">   Offload OBSIC personnel</t>
  </si>
  <si>
    <t xml:space="preserve">   Transit Dutch to Amlia</t>
  </si>
  <si>
    <t xml:space="preserve">   Deploy Streamer </t>
  </si>
  <si>
    <t>ended test line and turning toward AF01</t>
  </si>
  <si>
    <t xml:space="preserve">   Shoot mcs AFZ1</t>
  </si>
  <si>
    <t xml:space="preserve">   Shoot mcs AFZ2</t>
  </si>
  <si>
    <t xml:space="preserve">   Shoot mcs AFZ3</t>
  </si>
  <si>
    <t xml:space="preserve">  9/24/2020 11:15:00 AM</t>
  </si>
  <si>
    <t xml:space="preserve">   Shoot mcs AFZ4</t>
  </si>
  <si>
    <t xml:space="preserve">   Shoot mcs AFZ5</t>
  </si>
  <si>
    <t xml:space="preserve">   Shoot mcs AFZ"6"</t>
  </si>
  <si>
    <t xml:space="preserve">  9/25/2020 11:45:00 AM</t>
  </si>
  <si>
    <t xml:space="preserve">   Shoot D1S MCS s to n </t>
  </si>
  <si>
    <t xml:space="preserve">   Transit to D1S(n) to D2S(n)</t>
  </si>
  <si>
    <t xml:space="preserve">  9/27/2020 3:00:00 AM</t>
  </si>
  <si>
    <t xml:space="preserve">   Shoot D2S MCS n to s </t>
  </si>
  <si>
    <t xml:space="preserve">  9/27/2020 11:35:00 PM</t>
  </si>
  <si>
    <t xml:space="preserve">   Shoot D2S to S1W connector</t>
  </si>
  <si>
    <t xml:space="preserve">  Transit, shorten streamer to 6 km</t>
  </si>
  <si>
    <t xml:space="preserve">   Shoot S1A MCS w to e </t>
  </si>
  <si>
    <t xml:space="preserve">  9/29/2020 9:58:00 PM</t>
  </si>
  <si>
    <t xml:space="preserve">   Shoot S1B MCS w to e </t>
  </si>
  <si>
    <t xml:space="preserve">  9/30/2020 1:00:00 AM</t>
  </si>
  <si>
    <t xml:space="preserve">   Shoot S1C MCS w to e </t>
  </si>
  <si>
    <t xml:space="preserve">   Shoot S1D MCS w to e </t>
  </si>
  <si>
    <t xml:space="preserve">   Turn to D1N</t>
  </si>
  <si>
    <t xml:space="preserve">   Shoot D1N MCS s to n</t>
  </si>
  <si>
    <t xml:space="preserve">   Shoot S1G e to w</t>
  </si>
  <si>
    <t xml:space="preserve">   Shoot S1F e to w</t>
  </si>
  <si>
    <t xml:space="preserve">   Shoot D2N n to s</t>
  </si>
  <si>
    <t xml:space="preserve">   Recover streamer</t>
  </si>
  <si>
    <t xml:space="preserve">   Transit to Dutch</t>
  </si>
  <si>
    <t xml:space="preserve">   Contingency</t>
  </si>
  <si>
    <t xml:space="preserve">   Locked contingency, weather </t>
  </si>
  <si>
    <t xml:space="preserve">   Locked contingency, gear</t>
  </si>
  <si>
    <t xml:space="preserve">   Contingency </t>
  </si>
  <si>
    <t xml:space="preserve">   1 UNOLS day at the dock</t>
  </si>
  <si>
    <t xml:space="preserve">  Total ship days needed </t>
  </si>
  <si>
    <t>Transit days</t>
  </si>
  <si>
    <t>Science days</t>
  </si>
  <si>
    <t>Nobs</t>
  </si>
  <si>
    <t>Units</t>
  </si>
  <si>
    <t xml:space="preserve"> </t>
  </si>
  <si>
    <t xml:space="preserve">   NMiles/km</t>
  </si>
  <si>
    <t xml:space="preserve">   km/NMiles</t>
  </si>
  <si>
    <t>Factors</t>
  </si>
  <si>
    <t xml:space="preserve">   Transit speed (knts)</t>
  </si>
  <si>
    <t xml:space="preserve">   Langseth transit speed (knts)</t>
  </si>
  <si>
    <t xml:space="preserve">   Deploy Transit speed (knts)</t>
  </si>
  <si>
    <t xml:space="preserve">   OBS Deployment, Un-tethered (hrs)</t>
  </si>
  <si>
    <t xml:space="preserve">   OBS Deployment, Tethered time (hrs)</t>
  </si>
  <si>
    <t xml:space="preserve">   OBS, Avg. Recovery time (hrs), S1</t>
  </si>
  <si>
    <t xml:space="preserve">   OBS, Avg. Recovery time (hrs), D1_N</t>
  </si>
  <si>
    <t xml:space="preserve">   OBS, Avg. Recovery time (hrs), D1_S</t>
  </si>
  <si>
    <t xml:space="preserve">   OBS, Avg. Recovery time (hrs), D2_N</t>
  </si>
  <si>
    <t xml:space="preserve">   OBS, Avg. Recovery time (hrs), D2_S</t>
  </si>
  <si>
    <t xml:space="preserve">   Wide-angle shooting (knts)</t>
  </si>
  <si>
    <t xml:space="preserve">   MCS shooting (knts)</t>
  </si>
  <si>
    <t xml:space="preserve">   hydrowire speed (m/s)</t>
  </si>
  <si>
    <t xml:space="preserve">   tether wire out (m/min)</t>
  </si>
  <si>
    <t xml:space="preserve">   average tether out time (hrs)</t>
  </si>
  <si>
    <t>(These are mariana numbers)</t>
  </si>
  <si>
    <t xml:space="preserve">   averge tethering time, aleut D1 (hrs)</t>
  </si>
  <si>
    <t xml:space="preserve">   averge tethering time, aleut D2 (hrs)</t>
  </si>
  <si>
    <t>(These are aleut numbers)</t>
  </si>
  <si>
    <t>Avg Depth</t>
  </si>
  <si>
    <t>D1_N</t>
  </si>
  <si>
    <t>D1_S</t>
  </si>
  <si>
    <t>D2_N</t>
  </si>
  <si>
    <t>D2_S</t>
  </si>
  <si>
    <t xml:space="preserve">  Average inst depth (m), S1</t>
  </si>
  <si>
    <t xml:space="preserve">  Average inst depth (m), D1_N</t>
  </si>
  <si>
    <t xml:space="preserve">  Average inst depth (m), D1_S</t>
  </si>
  <si>
    <t xml:space="preserve">  Average inst depth (m), D2_N</t>
  </si>
  <si>
    <t xml:space="preserve">  Average inst depth (m), D2_S</t>
  </si>
  <si>
    <t xml:space="preserve">  Avg inst Rise rate (m/s)</t>
  </si>
  <si>
    <t xml:space="preserve">  Average inst depth (m)</t>
  </si>
  <si>
    <t xml:space="preserve">  Average rise time (hrs), S1</t>
  </si>
  <si>
    <t xml:space="preserve">  Average rise time (hrs), D1_N</t>
  </si>
  <si>
    <t xml:space="preserve">  SIO Rise rate (m/s)</t>
  </si>
  <si>
    <t xml:space="preserve">  WHOI Rise rate (m/s)</t>
  </si>
  <si>
    <t xml:space="preserve">  Average rise time (hrs), D1_1-2</t>
  </si>
  <si>
    <t>D1_1-2_Z</t>
  </si>
  <si>
    <t>D1_1-4_Z</t>
  </si>
  <si>
    <t xml:space="preserve">  Average rise time (hrs), D1_3-7</t>
  </si>
  <si>
    <t>D1_5-7_Z</t>
  </si>
  <si>
    <t xml:space="preserve">  Average rise time (hrs), D1_8-10</t>
  </si>
  <si>
    <t>D1_8-10_Z</t>
  </si>
  <si>
    <t xml:space="preserve">  Average rise time (hrs), D1_11-12</t>
  </si>
  <si>
    <t>D1_11-13_Z</t>
  </si>
  <si>
    <t xml:space="preserve">  Average rise time (hrs), D1_13-17</t>
  </si>
  <si>
    <t>D1_14-16_Z</t>
  </si>
  <si>
    <t xml:space="preserve">  Average rise time (hrs), D1_18-19</t>
  </si>
  <si>
    <t>D1_17-19_Z</t>
  </si>
  <si>
    <t xml:space="preserve">  Average rise time (hrs), D1_21-25</t>
  </si>
  <si>
    <t>D1_21-25_Z</t>
  </si>
  <si>
    <t xml:space="preserve">  Rise time (hrs), D1_17</t>
  </si>
  <si>
    <t>D1_17_Z</t>
  </si>
  <si>
    <t xml:space="preserve">  Rise time (hrs), D1_16</t>
  </si>
  <si>
    <t>D1_16_Z</t>
  </si>
  <si>
    <t xml:space="preserve">  Rise time (hrs), D1_15</t>
  </si>
  <si>
    <t>D1_15_Z</t>
  </si>
  <si>
    <t xml:space="preserve">  Rise time (hrs), D1_14</t>
  </si>
  <si>
    <t>D1_14_Z</t>
  </si>
  <si>
    <t xml:space="preserve">  Rise time (hrs), D1_13</t>
  </si>
  <si>
    <t>D1_13_Z</t>
  </si>
  <si>
    <t xml:space="preserve">  Rise time (hrs), D1_12</t>
  </si>
  <si>
    <t>D1_12_Z</t>
  </si>
  <si>
    <t xml:space="preserve">  Rise time (hrs), D1_11</t>
  </si>
  <si>
    <t>D1_11_Z</t>
  </si>
  <si>
    <t xml:space="preserve">  Average rise time (hrs), D2_1-3</t>
  </si>
  <si>
    <t>D2_1-3_Z</t>
  </si>
  <si>
    <t xml:space="preserve">  Average rise time (hrs), D2_4-5</t>
  </si>
  <si>
    <t>D2_4-5_Z</t>
  </si>
  <si>
    <t xml:space="preserve">  Average rise time (hrs), D2_6</t>
  </si>
  <si>
    <t>D2_6_Z</t>
  </si>
  <si>
    <t xml:space="preserve">  Average rise time (hrs), D2_7</t>
  </si>
  <si>
    <t>D2_7_Z</t>
  </si>
  <si>
    <t xml:space="preserve">  Average rise time (hrs), D2_8-10</t>
  </si>
  <si>
    <t>D2_8-10_Z</t>
  </si>
  <si>
    <t xml:space="preserve">  Average rise time (hrs), D2_11</t>
  </si>
  <si>
    <t>D2_11_Z</t>
  </si>
  <si>
    <t xml:space="preserve">  Average rise time (hrs), D2_11-12</t>
  </si>
  <si>
    <t>D2_11-12_Z</t>
  </si>
  <si>
    <t xml:space="preserve">  Average rise time (hrs), D1_S</t>
  </si>
  <si>
    <t xml:space="preserve">  Average rise time (hrs), D2_N</t>
  </si>
  <si>
    <t xml:space="preserve">  Average rise time (hrs), D2_S</t>
  </si>
  <si>
    <t xml:space="preserve">  Burn time (hrs)</t>
  </si>
  <si>
    <t xml:space="preserve">  rec_time (hrs)</t>
  </si>
  <si>
    <t>PSN Calculator</t>
  </si>
  <si>
    <t>X</t>
  </si>
  <si>
    <t>Vwat</t>
  </si>
  <si>
    <t>Vman</t>
  </si>
  <si>
    <t>Dt(min)</t>
  </si>
  <si>
    <t>Dx (km)</t>
  </si>
  <si>
    <t>(15s added to calc w/out DX)</t>
  </si>
  <si>
    <t>Dt(sec)</t>
  </si>
  <si>
    <t>Dx (m)</t>
  </si>
  <si>
    <t>MCS shot spacing</t>
  </si>
  <si>
    <t>dx</t>
  </si>
  <si>
    <t>nchan</t>
  </si>
  <si>
    <t>T</t>
  </si>
  <si>
    <t>dt</t>
  </si>
  <si>
    <t>Gb</t>
  </si>
  <si>
    <t>MCS Data recorded</t>
  </si>
  <si>
    <t>XR</t>
  </si>
  <si>
    <t>TR</t>
  </si>
  <si>
    <t>Uw</t>
  </si>
  <si>
    <t>Um</t>
  </si>
  <si>
    <t>(cross-over calculation with Dx + 15s)</t>
  </si>
  <si>
    <t>lon</t>
  </si>
  <si>
    <t>lat</t>
  </si>
  <si>
    <t>use</t>
  </si>
  <si>
    <t>Line</t>
  </si>
  <si>
    <t>depth</t>
  </si>
  <si>
    <t>S1</t>
  </si>
  <si>
    <t>D1</t>
  </si>
  <si>
    <t>D2</t>
  </si>
  <si>
    <t>D2_1-2_Z</t>
  </si>
  <si>
    <t>D2_3-5_Z</t>
  </si>
  <si>
    <t>D2_6-8_Z</t>
  </si>
  <si>
    <t>D2_9-10_Z</t>
  </si>
  <si>
    <t>D2_11-14_Z</t>
  </si>
  <si>
    <t>D2_15-16_Z</t>
  </si>
  <si>
    <t xml:space="preserve">  9/30/2020 10:25:00 PM</t>
  </si>
  <si>
    <t xml:space="preserve">  10/1/2020 07:50:00 AM</t>
  </si>
  <si>
    <t xml:space="preserve">   Shoot D1N to S1w connector </t>
  </si>
  <si>
    <t xml:space="preserve">  10/1/2020 10:55:00 PM</t>
  </si>
  <si>
    <t xml:space="preserve">   Transit S1 to D2N</t>
  </si>
  <si>
    <t xml:space="preserve">  10/3/2020 12:05:00 AM</t>
  </si>
  <si>
    <t xml:space="preserve">  10/3/2020 8:15:00 PM</t>
  </si>
  <si>
    <t xml:space="preserve">   Shoot S1E e to w (including east end of S1D)</t>
  </si>
  <si>
    <t xml:space="preserve">  10/4/2020 2:52:00 AM</t>
  </si>
  <si>
    <t xml:space="preserve">  10/4/2020 7:21:00 PM</t>
  </si>
  <si>
    <t xml:space="preserve">  10/5/2020 8:50:00 AM</t>
  </si>
  <si>
    <t xml:space="preserve">  10/5/2020 10:02:00 AM</t>
  </si>
  <si>
    <t>recovered 2 strings before eol and turn, then two after</t>
  </si>
  <si>
    <t xml:space="preserve">  10/5/2020 1:05:00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</si>
</sst>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/d/yyyy\ h:mm"/>
    <numFmt numFmtId="165" formatCode="0.0"/>
    <numFmt numFmtId="166" formatCode="m/d/yyyy"/>
    <numFmt numFmtId="168" formatCode="#,##0.0"/>
    <numFmt numFmtId="169" formatCode="#,##0.000"/>
    <numFmt numFmtId="170" formatCode="0.000"/>
    <numFmt numFmtId="171" formatCode="0.0000"/>
  </numFmts>
  <fonts count="9" x14ac:knownFonts="1">
    <font>
      <sz val="10"/>
      <name val="Geneva"/>
      <charset val="1"/>
    </font>
    <font>
      <b/>
      <sz val="12"/>
      <name val="Geneva"/>
      <family val="2"/>
      <charset val="1"/>
    </font>
    <font>
      <b/>
      <sz val="9"/>
      <name val="Geneva"/>
      <family val="2"/>
      <charset val="1"/>
    </font>
    <font>
      <sz val="9"/>
      <name val="Geneva"/>
      <family val="2"/>
      <charset val="1"/>
    </font>
    <font>
      <sz val="10"/>
      <name val="Geneva"/>
      <family val="2"/>
      <charset val="1"/>
    </font>
    <font>
      <b/>
      <sz val="10"/>
      <name val="Geneva"/>
      <family val="2"/>
      <charset val="1"/>
    </font>
    <font>
      <b/>
      <i/>
      <sz val="9"/>
      <name val="Geneva"/>
      <family val="2"/>
      <charset val="1"/>
    </font>
    <font>
      <b/>
      <sz val="12"/>
      <name val="Calibri"/>
      <family val="2"/>
      <charset val="1"/>
    </font>
    <font>
      <sz val="10"/>
      <name val="Geneva"/>
      <family val="2"/>
    </font>
  </fonts>
  <fills count="21">
    <fill>
      <patternFill patternType="none"/>
    </fill>
    <fill>
      <patternFill patternType="gray125"/>
    </fill>
    <fill>
      <patternFill patternType="solid">
        <fgColor rgb="FF6CFF79"/>
        <bgColor rgb="FF83FFB7"/>
      </patternFill>
    </fill>
    <fill>
      <patternFill patternType="solid">
        <fgColor rgb="FF83FFB7"/>
        <bgColor rgb="FF6CFF79"/>
      </patternFill>
    </fill>
    <fill>
      <patternFill patternType="solid">
        <fgColor rgb="FFCC99FF"/>
        <bgColor rgb="FFC3B9C0"/>
      </patternFill>
    </fill>
    <fill>
      <patternFill patternType="solid">
        <fgColor rgb="FFCCFFCC"/>
        <bgColor rgb="FFE7FFFF"/>
      </patternFill>
    </fill>
    <fill>
      <patternFill patternType="solid">
        <fgColor rgb="FFA6CAF0"/>
        <bgColor rgb="FFBFBFBF"/>
      </patternFill>
    </fill>
    <fill>
      <patternFill patternType="solid">
        <fgColor rgb="FFFDF4B6"/>
        <bgColor rgb="FFFFF2CC"/>
      </patternFill>
    </fill>
    <fill>
      <patternFill patternType="solid">
        <fgColor rgb="FFDDEAF8"/>
        <bgColor rgb="FFDEEBF7"/>
      </patternFill>
    </fill>
    <fill>
      <patternFill patternType="solid">
        <fgColor rgb="FFF8DEFD"/>
        <bgColor rgb="FFFFE3FF"/>
      </patternFill>
    </fill>
    <fill>
      <patternFill patternType="solid">
        <fgColor rgb="FFFEFBE7"/>
        <bgColor rgb="FFFFF2CC"/>
      </patternFill>
    </fill>
    <fill>
      <patternFill patternType="solid">
        <fgColor rgb="FFDEEBF7"/>
        <bgColor rgb="FFDDEAF8"/>
      </patternFill>
    </fill>
    <fill>
      <patternFill patternType="solid">
        <fgColor rgb="FFFFE3FF"/>
        <bgColor rgb="FFF8DEFD"/>
      </patternFill>
    </fill>
    <fill>
      <patternFill patternType="solid">
        <fgColor rgb="FFAFABAB"/>
        <bgColor rgb="FFC3B9C0"/>
      </patternFill>
    </fill>
    <fill>
      <patternFill patternType="solid">
        <fgColor rgb="FFFF5E63"/>
        <bgColor rgb="FF993366"/>
      </patternFill>
    </fill>
    <fill>
      <patternFill patternType="solid">
        <fgColor rgb="FFFFF2CC"/>
        <bgColor rgb="FFFDF4B6"/>
      </patternFill>
    </fill>
    <fill>
      <patternFill patternType="solid">
        <fgColor rgb="FFE7FFFF"/>
        <bgColor rgb="FFE8FFFF"/>
      </patternFill>
    </fill>
    <fill>
      <patternFill patternType="solid">
        <fgColor rgb="FFE8FFFF"/>
        <bgColor rgb="FFE7FFFF"/>
      </patternFill>
    </fill>
    <fill>
      <patternFill patternType="solid">
        <fgColor rgb="FFFFE699"/>
        <bgColor rgb="FFFBEC85"/>
      </patternFill>
    </fill>
    <fill>
      <patternFill patternType="solid">
        <fgColor rgb="FFFFFF99"/>
        <bgColor rgb="FFFDF4B6"/>
      </patternFill>
    </fill>
    <fill>
      <patternFill patternType="solid">
        <fgColor rgb="FFFFFF00"/>
        <bgColor rgb="FFFBEC85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103154"/>
      </right>
      <top style="thin">
        <color rgb="FF103154"/>
      </top>
      <bottom style="thin">
        <color rgb="FF10315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103154"/>
      </left>
      <right style="thin">
        <color rgb="FF103154"/>
      </right>
      <top style="thin">
        <color rgb="FF103154"/>
      </top>
      <bottom style="thin">
        <color rgb="FF10315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58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left" indent="5"/>
    </xf>
    <xf numFmtId="4" fontId="0" fillId="0" borderId="0" xfId="0" applyNumberFormat="1" applyAlignment="1">
      <alignment horizontal="center"/>
    </xf>
    <xf numFmtId="3" fontId="2" fillId="3" borderId="3" xfId="0" applyNumberFormat="1" applyFont="1" applyFill="1" applyBorder="1" applyAlignment="1">
      <alignment horizontal="right"/>
    </xf>
    <xf numFmtId="3" fontId="2" fillId="3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 indent="5"/>
    </xf>
    <xf numFmtId="0" fontId="2" fillId="0" borderId="0" xfId="0" applyFont="1" applyAlignment="1">
      <alignment horizontal="left" indent="5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indent="5"/>
    </xf>
    <xf numFmtId="0" fontId="0" fillId="0" borderId="0" xfId="0" applyAlignment="1">
      <alignment horizontal="center"/>
    </xf>
    <xf numFmtId="3" fontId="5" fillId="0" borderId="0" xfId="0" applyNumberFormat="1" applyFont="1"/>
    <xf numFmtId="3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3" fontId="3" fillId="0" borderId="0" xfId="0" applyNumberFormat="1" applyFont="1"/>
    <xf numFmtId="4" fontId="3" fillId="0" borderId="0" xfId="0" applyNumberFormat="1" applyFont="1"/>
    <xf numFmtId="3" fontId="3" fillId="4" borderId="3" xfId="0" applyNumberFormat="1" applyFont="1" applyFill="1" applyBorder="1"/>
    <xf numFmtId="3" fontId="3" fillId="4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3" fontId="3" fillId="0" borderId="9" xfId="0" applyNumberFormat="1" applyFont="1" applyBorder="1"/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 indent="8"/>
    </xf>
    <xf numFmtId="165" fontId="3" fillId="0" borderId="0" xfId="0" applyNumberFormat="1" applyFont="1" applyAlignment="1">
      <alignment horizontal="center"/>
    </xf>
    <xf numFmtId="3" fontId="3" fillId="6" borderId="10" xfId="0" applyNumberFormat="1" applyFont="1" applyFill="1" applyBorder="1"/>
    <xf numFmtId="3" fontId="3" fillId="6" borderId="11" xfId="0" applyNumberFormat="1" applyFont="1" applyFill="1" applyBorder="1" applyAlignment="1">
      <alignment horizontal="center"/>
    </xf>
    <xf numFmtId="3" fontId="2" fillId="6" borderId="11" xfId="0" applyNumberFormat="1" applyFont="1" applyFill="1" applyBorder="1" applyAlignment="1">
      <alignment horizontal="center"/>
    </xf>
    <xf numFmtId="2" fontId="3" fillId="6" borderId="11" xfId="0" applyNumberFormat="1" applyFont="1" applyFill="1" applyBorder="1" applyAlignment="1">
      <alignment horizontal="center"/>
    </xf>
    <xf numFmtId="2" fontId="3" fillId="6" borderId="11" xfId="0" applyNumberFormat="1" applyFont="1" applyFill="1" applyBorder="1" applyAlignment="1">
      <alignment horizontal="right" indent="8"/>
    </xf>
    <xf numFmtId="165" fontId="3" fillId="6" borderId="11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8" borderId="1" xfId="0" applyNumberFormat="1" applyFont="1" applyFill="1" applyBorder="1"/>
    <xf numFmtId="164" fontId="4" fillId="0" borderId="0" xfId="0" applyNumberFormat="1" applyFont="1" applyAlignment="1">
      <alignment horizontal="left"/>
    </xf>
    <xf numFmtId="166" fontId="0" fillId="0" borderId="0" xfId="0" applyNumberFormat="1"/>
    <xf numFmtId="3" fontId="2" fillId="9" borderId="1" xfId="0" applyNumberFormat="1" applyFont="1" applyFill="1" applyBorder="1"/>
    <xf numFmtId="164" fontId="0" fillId="0" borderId="0" xfId="0" applyNumberFormat="1" applyAlignment="1">
      <alignment horizontal="left"/>
    </xf>
    <xf numFmtId="3" fontId="3" fillId="10" borderId="1" xfId="0" applyNumberFormat="1" applyFont="1" applyFill="1" applyBorder="1"/>
    <xf numFmtId="3" fontId="3" fillId="10" borderId="0" xfId="0" applyNumberFormat="1" applyFont="1" applyFill="1" applyAlignment="1">
      <alignment horizontal="center"/>
    </xf>
    <xf numFmtId="2" fontId="3" fillId="10" borderId="1" xfId="0" applyNumberFormat="1" applyFont="1" applyFill="1" applyBorder="1" applyAlignment="1">
      <alignment horizontal="center"/>
    </xf>
    <xf numFmtId="165" fontId="3" fillId="10" borderId="0" xfId="0" applyNumberFormat="1" applyFont="1" applyFill="1" applyAlignment="1">
      <alignment horizontal="center"/>
    </xf>
    <xf numFmtId="3" fontId="6" fillId="8" borderId="1" xfId="0" applyNumberFormat="1" applyFont="1" applyFill="1" applyBorder="1"/>
    <xf numFmtId="3" fontId="6" fillId="9" borderId="1" xfId="0" applyNumberFormat="1" applyFont="1" applyFill="1" applyBorder="1"/>
    <xf numFmtId="2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left" indent="5"/>
    </xf>
    <xf numFmtId="2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3" fontId="2" fillId="8" borderId="10" xfId="0" applyNumberFormat="1" applyFont="1" applyFill="1" applyBorder="1"/>
    <xf numFmtId="3" fontId="3" fillId="0" borderId="11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3" fontId="2" fillId="13" borderId="1" xfId="0" applyNumberFormat="1" applyFont="1" applyFill="1" applyBorder="1"/>
    <xf numFmtId="3" fontId="3" fillId="13" borderId="0" xfId="0" applyNumberFormat="1" applyFont="1" applyFill="1" applyAlignment="1">
      <alignment horizontal="center"/>
    </xf>
    <xf numFmtId="2" fontId="3" fillId="13" borderId="1" xfId="0" applyNumberFormat="1" applyFont="1" applyFill="1" applyBorder="1" applyAlignment="1">
      <alignment horizontal="center"/>
    </xf>
    <xf numFmtId="165" fontId="3" fillId="13" borderId="0" xfId="0" applyNumberFormat="1" applyFont="1" applyFill="1" applyAlignment="1">
      <alignment horizontal="center"/>
    </xf>
    <xf numFmtId="3" fontId="3" fillId="0" borderId="11" xfId="0" applyNumberFormat="1" applyFont="1" applyBorder="1"/>
    <xf numFmtId="2" fontId="3" fillId="0" borderId="11" xfId="0" applyNumberFormat="1" applyFont="1" applyBorder="1" applyAlignment="1">
      <alignment horizontal="center"/>
    </xf>
    <xf numFmtId="3" fontId="0" fillId="10" borderId="0" xfId="0" applyNumberFormat="1" applyFill="1" applyAlignment="1">
      <alignment horizontal="center"/>
    </xf>
    <xf numFmtId="4" fontId="3" fillId="0" borderId="0" xfId="0" applyNumberFormat="1" applyFont="1" applyAlignment="1">
      <alignment horizontal="center"/>
    </xf>
    <xf numFmtId="3" fontId="6" fillId="8" borderId="10" xfId="0" applyNumberFormat="1" applyFont="1" applyFill="1" applyBorder="1"/>
    <xf numFmtId="0" fontId="4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left" indent="5"/>
    </xf>
    <xf numFmtId="0" fontId="3" fillId="0" borderId="0" xfId="0" applyFont="1"/>
    <xf numFmtId="0" fontId="4" fillId="0" borderId="0" xfId="0" applyFont="1" applyAlignment="1">
      <alignment horizontal="center"/>
    </xf>
    <xf numFmtId="3" fontId="6" fillId="8" borderId="17" xfId="0" applyNumberFormat="1" applyFont="1" applyFill="1" applyBorder="1"/>
    <xf numFmtId="3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3" fontId="3" fillId="9" borderId="10" xfId="0" applyNumberFormat="1" applyFont="1" applyFill="1" applyBorder="1"/>
    <xf numFmtId="3" fontId="3" fillId="9" borderId="11" xfId="0" applyNumberFormat="1" applyFont="1" applyFill="1" applyBorder="1" applyAlignment="1">
      <alignment horizontal="center"/>
    </xf>
    <xf numFmtId="3" fontId="3" fillId="12" borderId="11" xfId="0" applyNumberFormat="1" applyFont="1" applyFill="1" applyBorder="1" applyAlignment="1">
      <alignment horizontal="center"/>
    </xf>
    <xf numFmtId="2" fontId="3" fillId="9" borderId="10" xfId="0" applyNumberFormat="1" applyFont="1" applyFill="1" applyBorder="1" applyAlignment="1">
      <alignment horizontal="center"/>
    </xf>
    <xf numFmtId="165" fontId="3" fillId="12" borderId="11" xfId="0" applyNumberFormat="1" applyFont="1" applyFill="1" applyBorder="1" applyAlignment="1">
      <alignment horizontal="center"/>
    </xf>
    <xf numFmtId="3" fontId="3" fillId="9" borderId="0" xfId="0" applyNumberFormat="1" applyFont="1" applyFill="1" applyAlignment="1">
      <alignment horizontal="center"/>
    </xf>
    <xf numFmtId="3" fontId="3" fillId="12" borderId="0" xfId="0" applyNumberFormat="1" applyFont="1" applyFill="1" applyAlignment="1">
      <alignment horizontal="center"/>
    </xf>
    <xf numFmtId="2" fontId="3" fillId="9" borderId="1" xfId="0" applyNumberFormat="1" applyFont="1" applyFill="1" applyBorder="1" applyAlignment="1">
      <alignment horizontal="center"/>
    </xf>
    <xf numFmtId="165" fontId="3" fillId="9" borderId="0" xfId="0" applyNumberFormat="1" applyFont="1" applyFill="1" applyAlignment="1">
      <alignment horizontal="center"/>
    </xf>
    <xf numFmtId="3" fontId="3" fillId="9" borderId="17" xfId="0" applyNumberFormat="1" applyFont="1" applyFill="1" applyBorder="1"/>
    <xf numFmtId="3" fontId="3" fillId="9" borderId="8" xfId="0" applyNumberFormat="1" applyFont="1" applyFill="1" applyBorder="1" applyAlignment="1">
      <alignment horizontal="center"/>
    </xf>
    <xf numFmtId="2" fontId="3" fillId="9" borderId="17" xfId="0" applyNumberFormat="1" applyFont="1" applyFill="1" applyBorder="1" applyAlignment="1">
      <alignment horizontal="center"/>
    </xf>
    <xf numFmtId="165" fontId="3" fillId="9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3" fontId="3" fillId="16" borderId="1" xfId="0" applyNumberFormat="1" applyFont="1" applyFill="1" applyBorder="1"/>
    <xf numFmtId="3" fontId="3" fillId="17" borderId="0" xfId="0" applyNumberFormat="1" applyFont="1" applyFill="1" applyAlignment="1">
      <alignment horizontal="center"/>
    </xf>
    <xf numFmtId="3" fontId="3" fillId="16" borderId="0" xfId="0" applyNumberFormat="1" applyFont="1" applyFill="1" applyAlignment="1">
      <alignment horizontal="center"/>
    </xf>
    <xf numFmtId="168" fontId="3" fillId="16" borderId="0" xfId="0" applyNumberFormat="1" applyFont="1" applyFill="1" applyAlignment="1">
      <alignment horizontal="center"/>
    </xf>
    <xf numFmtId="2" fontId="3" fillId="16" borderId="1" xfId="0" applyNumberFormat="1" applyFont="1" applyFill="1" applyBorder="1" applyAlignment="1">
      <alignment horizontal="center"/>
    </xf>
    <xf numFmtId="165" fontId="3" fillId="17" borderId="0" xfId="0" applyNumberFormat="1" applyFont="1" applyFill="1" applyAlignment="1">
      <alignment horizontal="center"/>
    </xf>
    <xf numFmtId="165" fontId="3" fillId="16" borderId="0" xfId="0" applyNumberFormat="1" applyFont="1" applyFill="1" applyAlignment="1">
      <alignment horizontal="center"/>
    </xf>
    <xf numFmtId="168" fontId="3" fillId="0" borderId="0" xfId="0" applyNumberFormat="1" applyFont="1" applyAlignment="1">
      <alignment horizontal="center"/>
    </xf>
    <xf numFmtId="168" fontId="3" fillId="17" borderId="0" xfId="0" applyNumberFormat="1" applyFont="1" applyFill="1" applyAlignment="1">
      <alignment horizontal="center"/>
    </xf>
    <xf numFmtId="2" fontId="3" fillId="17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3" fontId="3" fillId="4" borderId="4" xfId="0" applyNumberFormat="1" applyFont="1" applyFill="1" applyBorder="1"/>
    <xf numFmtId="2" fontId="3" fillId="4" borderId="4" xfId="0" applyNumberFormat="1" applyFont="1" applyFill="1" applyBorder="1"/>
    <xf numFmtId="3" fontId="6" fillId="18" borderId="1" xfId="0" applyNumberFormat="1" applyFont="1" applyFill="1" applyBorder="1"/>
    <xf numFmtId="3" fontId="3" fillId="18" borderId="0" xfId="0" applyNumberFormat="1" applyFont="1" applyFill="1" applyAlignment="1">
      <alignment horizontal="center"/>
    </xf>
    <xf numFmtId="2" fontId="2" fillId="18" borderId="19" xfId="0" applyNumberFormat="1" applyFont="1" applyFill="1" applyBorder="1" applyAlignment="1">
      <alignment horizontal="center"/>
    </xf>
    <xf numFmtId="165" fontId="3" fillId="18" borderId="0" xfId="0" applyNumberFormat="1" applyFont="1" applyFill="1" applyAlignment="1">
      <alignment horizontal="center"/>
    </xf>
    <xf numFmtId="3" fontId="3" fillId="6" borderId="3" xfId="0" applyNumberFormat="1" applyFont="1" applyFill="1" applyBorder="1"/>
    <xf numFmtId="3" fontId="0" fillId="6" borderId="4" xfId="0" applyNumberFormat="1" applyFill="1" applyBorder="1"/>
    <xf numFmtId="3" fontId="0" fillId="6" borderId="4" xfId="0" applyNumberFormat="1" applyFill="1" applyBorder="1" applyAlignment="1">
      <alignment horizontal="center"/>
    </xf>
    <xf numFmtId="2" fontId="3" fillId="6" borderId="3" xfId="0" applyNumberFormat="1" applyFont="1" applyFill="1" applyBorder="1"/>
    <xf numFmtId="2" fontId="3" fillId="6" borderId="4" xfId="0" applyNumberFormat="1" applyFont="1" applyFill="1" applyBorder="1" applyAlignment="1">
      <alignment horizontal="right" indent="8"/>
    </xf>
    <xf numFmtId="165" fontId="3" fillId="6" borderId="4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 indent="8"/>
    </xf>
    <xf numFmtId="2" fontId="3" fillId="0" borderId="0" xfId="0" applyNumberFormat="1" applyFont="1"/>
    <xf numFmtId="3" fontId="3" fillId="19" borderId="10" xfId="0" applyNumberFormat="1" applyFont="1" applyFill="1" applyBorder="1"/>
    <xf numFmtId="3" fontId="3" fillId="19" borderId="11" xfId="0" applyNumberFormat="1" applyFont="1" applyFill="1" applyBorder="1"/>
    <xf numFmtId="3" fontId="3" fillId="19" borderId="11" xfId="0" applyNumberFormat="1" applyFont="1" applyFill="1" applyBorder="1" applyAlignment="1">
      <alignment horizontal="center"/>
    </xf>
    <xf numFmtId="2" fontId="3" fillId="20" borderId="14" xfId="0" applyNumberFormat="1" applyFont="1" applyFill="1" applyBorder="1"/>
    <xf numFmtId="3" fontId="3" fillId="19" borderId="1" xfId="0" applyNumberFormat="1" applyFont="1" applyFill="1" applyBorder="1"/>
    <xf numFmtId="3" fontId="3" fillId="19" borderId="0" xfId="0" applyNumberFormat="1" applyFont="1" applyFill="1"/>
    <xf numFmtId="3" fontId="3" fillId="19" borderId="0" xfId="0" applyNumberFormat="1" applyFont="1" applyFill="1" applyAlignment="1">
      <alignment horizontal="center"/>
    </xf>
    <xf numFmtId="2" fontId="3" fillId="20" borderId="16" xfId="0" applyNumberFormat="1" applyFont="1" applyFill="1" applyBorder="1"/>
    <xf numFmtId="3" fontId="2" fillId="19" borderId="17" xfId="0" applyNumberFormat="1" applyFont="1" applyFill="1" applyBorder="1"/>
    <xf numFmtId="3" fontId="3" fillId="19" borderId="8" xfId="0" applyNumberFormat="1" applyFont="1" applyFill="1" applyBorder="1"/>
    <xf numFmtId="3" fontId="3" fillId="19" borderId="8" xfId="0" applyNumberFormat="1" applyFont="1" applyFill="1" applyBorder="1" applyAlignment="1">
      <alignment horizontal="center"/>
    </xf>
    <xf numFmtId="4" fontId="3" fillId="19" borderId="8" xfId="0" applyNumberFormat="1" applyFont="1" applyFill="1" applyBorder="1" applyAlignment="1">
      <alignment horizontal="center"/>
    </xf>
    <xf numFmtId="3" fontId="3" fillId="0" borderId="8" xfId="0" applyNumberFormat="1" applyFont="1" applyBorder="1"/>
    <xf numFmtId="164" fontId="2" fillId="0" borderId="0" xfId="0" applyNumberFormat="1" applyFont="1" applyAlignment="1">
      <alignment horizontal="left" indent="5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5" fillId="0" borderId="0" xfId="0" applyNumberFormat="1" applyFont="1"/>
    <xf numFmtId="2" fontId="2" fillId="0" borderId="1" xfId="0" applyNumberFormat="1" applyFont="1" applyBorder="1" applyAlignment="1">
      <alignment horizontal="left" indent="5"/>
    </xf>
    <xf numFmtId="3" fontId="0" fillId="0" borderId="20" xfId="0" applyNumberFormat="1" applyBorder="1"/>
    <xf numFmtId="3" fontId="0" fillId="0" borderId="20" xfId="0" applyNumberFormat="1" applyBorder="1" applyAlignment="1">
      <alignment horizontal="center"/>
    </xf>
    <xf numFmtId="4" fontId="0" fillId="0" borderId="20" xfId="0" applyNumberFormat="1" applyBorder="1"/>
    <xf numFmtId="165" fontId="2" fillId="0" borderId="0" xfId="0" applyNumberFormat="1" applyFont="1" applyAlignment="1">
      <alignment horizontal="left" indent="5"/>
    </xf>
    <xf numFmtId="165" fontId="2" fillId="0" borderId="16" xfId="0" applyNumberFormat="1" applyFont="1" applyBorder="1" applyAlignment="1">
      <alignment horizontal="left" indent="5"/>
    </xf>
    <xf numFmtId="3" fontId="3" fillId="0" borderId="8" xfId="0" applyNumberFormat="1" applyFont="1" applyBorder="1" applyAlignment="1">
      <alignment horizontal="right"/>
    </xf>
    <xf numFmtId="4" fontId="3" fillId="0" borderId="8" xfId="0" applyNumberFormat="1" applyFont="1" applyBorder="1"/>
    <xf numFmtId="4" fontId="3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right" indent="5"/>
    </xf>
    <xf numFmtId="0" fontId="3" fillId="0" borderId="0" xfId="0" applyFont="1" applyAlignment="1">
      <alignment horizontal="left" indent="5"/>
    </xf>
    <xf numFmtId="0" fontId="3" fillId="0" borderId="0" xfId="0" applyFont="1" applyAlignment="1">
      <alignment horizontal="right" indent="5"/>
    </xf>
    <xf numFmtId="169" fontId="0" fillId="0" borderId="0" xfId="0" applyNumberFormat="1"/>
    <xf numFmtId="3" fontId="0" fillId="0" borderId="21" xfId="0" applyNumberFormat="1" applyBorder="1"/>
    <xf numFmtId="4" fontId="3" fillId="0" borderId="11" xfId="0" applyNumberFormat="1" applyFon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3" fontId="3" fillId="0" borderId="10" xfId="0" applyNumberFormat="1" applyFont="1" applyBorder="1"/>
    <xf numFmtId="4" fontId="3" fillId="0" borderId="12" xfId="0" applyNumberFormat="1" applyFont="1" applyBorder="1" applyAlignment="1">
      <alignment horizontal="center"/>
    </xf>
    <xf numFmtId="3" fontId="3" fillId="0" borderId="17" xfId="0" applyNumberFormat="1" applyFont="1" applyBorder="1"/>
    <xf numFmtId="170" fontId="3" fillId="0" borderId="8" xfId="0" applyNumberFormat="1" applyFont="1" applyBorder="1" applyAlignment="1">
      <alignment horizontal="center"/>
    </xf>
    <xf numFmtId="170" fontId="3" fillId="0" borderId="18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70" fontId="3" fillId="0" borderId="2" xfId="0" applyNumberFormat="1" applyFont="1" applyBorder="1" applyAlignment="1">
      <alignment horizontal="center"/>
    </xf>
    <xf numFmtId="170" fontId="3" fillId="0" borderId="11" xfId="0" applyNumberFormat="1" applyFont="1" applyBorder="1" applyAlignment="1">
      <alignment horizontal="center"/>
    </xf>
    <xf numFmtId="170" fontId="3" fillId="0" borderId="12" xfId="0" applyNumberFormat="1" applyFont="1" applyBorder="1" applyAlignment="1">
      <alignment horizontal="center"/>
    </xf>
    <xf numFmtId="3" fontId="0" fillId="0" borderId="10" xfId="0" applyNumberFormat="1" applyBorder="1"/>
    <xf numFmtId="3" fontId="0" fillId="0" borderId="11" xfId="0" applyNumberFormat="1" applyBorder="1"/>
    <xf numFmtId="3" fontId="0" fillId="0" borderId="8" xfId="0" applyNumberFormat="1" applyBorder="1"/>
    <xf numFmtId="169" fontId="3" fillId="0" borderId="8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2" fontId="3" fillId="13" borderId="0" xfId="0" applyNumberFormat="1" applyFont="1" applyFill="1" applyAlignment="1">
      <alignment horizontal="center"/>
    </xf>
    <xf numFmtId="0" fontId="0" fillId="0" borderId="0" xfId="0" applyAlignment="1">
      <alignment horizontal="right" indent="5"/>
    </xf>
    <xf numFmtId="165" fontId="0" fillId="0" borderId="0" xfId="0" applyNumberFormat="1" applyAlignment="1">
      <alignment horizontal="right" indent="5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indent="8"/>
    </xf>
    <xf numFmtId="171" fontId="0" fillId="0" borderId="10" xfId="0" applyNumberFormat="1" applyBorder="1" applyAlignment="1">
      <alignment horizontal="left" indent="5"/>
    </xf>
    <xf numFmtId="171" fontId="0" fillId="0" borderId="11" xfId="0" applyNumberFormat="1" applyBorder="1" applyAlignment="1">
      <alignment horizontal="right" indent="5"/>
    </xf>
    <xf numFmtId="2" fontId="0" fillId="0" borderId="11" xfId="0" applyNumberFormat="1" applyBorder="1" applyAlignment="1">
      <alignment horizontal="right" indent="5"/>
    </xf>
    <xf numFmtId="0" fontId="0" fillId="0" borderId="11" xfId="0" applyBorder="1" applyAlignment="1">
      <alignment horizontal="right" indent="5"/>
    </xf>
    <xf numFmtId="0" fontId="0" fillId="0" borderId="11" xfId="0" applyBorder="1" applyAlignment="1">
      <alignment horizontal="center"/>
    </xf>
    <xf numFmtId="2" fontId="0" fillId="0" borderId="12" xfId="0" applyNumberFormat="1" applyBorder="1" applyAlignment="1">
      <alignment horizontal="right" indent="5"/>
    </xf>
    <xf numFmtId="171" fontId="0" fillId="0" borderId="1" xfId="0" applyNumberFormat="1" applyBorder="1" applyAlignment="1">
      <alignment horizontal="left" indent="5"/>
    </xf>
    <xf numFmtId="171" fontId="0" fillId="0" borderId="0" xfId="0" applyNumberFormat="1" applyAlignment="1">
      <alignment horizontal="right" indent="5"/>
    </xf>
    <xf numFmtId="2" fontId="0" fillId="0" borderId="0" xfId="0" applyNumberFormat="1" applyAlignment="1">
      <alignment horizontal="right" indent="5"/>
    </xf>
    <xf numFmtId="2" fontId="0" fillId="0" borderId="2" xfId="0" applyNumberFormat="1" applyBorder="1" applyAlignment="1">
      <alignment horizontal="right" indent="5"/>
    </xf>
    <xf numFmtId="171" fontId="0" fillId="0" borderId="17" xfId="0" applyNumberFormat="1" applyBorder="1" applyAlignment="1">
      <alignment horizontal="left" indent="5"/>
    </xf>
    <xf numFmtId="171" fontId="0" fillId="0" borderId="8" xfId="0" applyNumberFormat="1" applyBorder="1" applyAlignment="1">
      <alignment horizontal="right" indent="5"/>
    </xf>
    <xf numFmtId="2" fontId="0" fillId="0" borderId="8" xfId="0" applyNumberFormat="1" applyBorder="1" applyAlignment="1">
      <alignment horizontal="right" indent="5"/>
    </xf>
    <xf numFmtId="0" fontId="0" fillId="0" borderId="8" xfId="0" applyBorder="1" applyAlignment="1">
      <alignment horizontal="right" indent="5"/>
    </xf>
    <xf numFmtId="0" fontId="0" fillId="0" borderId="8" xfId="0" applyBorder="1" applyAlignment="1">
      <alignment horizontal="center"/>
    </xf>
    <xf numFmtId="2" fontId="0" fillId="0" borderId="18" xfId="0" applyNumberFormat="1" applyBorder="1" applyAlignment="1">
      <alignment horizontal="right" indent="5"/>
    </xf>
    <xf numFmtId="0" fontId="4" fillId="0" borderId="0" xfId="0" applyFont="1"/>
    <xf numFmtId="171" fontId="0" fillId="0" borderId="24" xfId="0" applyNumberFormat="1" applyBorder="1" applyAlignment="1">
      <alignment horizontal="left" indent="5"/>
    </xf>
    <xf numFmtId="171" fontId="0" fillId="0" borderId="23" xfId="0" applyNumberFormat="1" applyBorder="1" applyAlignment="1">
      <alignment horizontal="right" indent="5"/>
    </xf>
    <xf numFmtId="2" fontId="0" fillId="0" borderId="23" xfId="0" applyNumberFormat="1" applyBorder="1" applyAlignment="1">
      <alignment horizontal="right" indent="5"/>
    </xf>
    <xf numFmtId="0" fontId="0" fillId="0" borderId="23" xfId="0" applyBorder="1" applyAlignment="1">
      <alignment horizontal="right" indent="5"/>
    </xf>
    <xf numFmtId="0" fontId="0" fillId="0" borderId="23" xfId="0" applyBorder="1" applyAlignment="1">
      <alignment horizontal="center"/>
    </xf>
    <xf numFmtId="2" fontId="0" fillId="0" borderId="25" xfId="0" applyNumberFormat="1" applyBorder="1" applyAlignment="1">
      <alignment horizontal="right" indent="5"/>
    </xf>
    <xf numFmtId="2" fontId="3" fillId="10" borderId="0" xfId="0" applyNumberFormat="1" applyFont="1" applyFill="1" applyAlignment="1">
      <alignment horizontal="center"/>
    </xf>
    <xf numFmtId="2" fontId="3" fillId="9" borderId="11" xfId="0" applyNumberFormat="1" applyFont="1" applyFill="1" applyBorder="1" applyAlignment="1">
      <alignment horizontal="center"/>
    </xf>
    <xf numFmtId="2" fontId="3" fillId="9" borderId="0" xfId="0" applyNumberFormat="1" applyFont="1" applyFill="1" applyAlignment="1">
      <alignment horizontal="center"/>
    </xf>
    <xf numFmtId="2" fontId="3" fillId="9" borderId="8" xfId="0" applyNumberFormat="1" applyFont="1" applyFill="1" applyBorder="1" applyAlignment="1">
      <alignment horizontal="center"/>
    </xf>
    <xf numFmtId="2" fontId="3" fillId="16" borderId="0" xfId="0" applyNumberFormat="1" applyFont="1" applyFill="1" applyAlignment="1">
      <alignment horizontal="center"/>
    </xf>
    <xf numFmtId="2" fontId="3" fillId="17" borderId="0" xfId="0" applyNumberFormat="1" applyFont="1" applyFill="1" applyAlignment="1">
      <alignment horizontal="center"/>
    </xf>
    <xf numFmtId="2" fontId="3" fillId="18" borderId="0" xfId="0" applyNumberFormat="1" applyFont="1" applyFill="1" applyAlignment="1">
      <alignment horizontal="center"/>
    </xf>
    <xf numFmtId="3" fontId="0" fillId="0" borderId="0" xfId="0" applyNumberFormat="1" applyAlignment="1">
      <alignment horizontal="left" vertical="center" indent="1"/>
    </xf>
    <xf numFmtId="3" fontId="0" fillId="0" borderId="2" xfId="0" applyNumberForma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3" fontId="2" fillId="0" borderId="8" xfId="0" applyNumberFormat="1" applyFont="1" applyBorder="1" applyAlignment="1">
      <alignment horizontal="left" vertical="center" indent="1"/>
    </xf>
    <xf numFmtId="164" fontId="3" fillId="0" borderId="0" xfId="0" applyNumberFormat="1" applyFont="1" applyAlignment="1">
      <alignment horizontal="left" vertical="center" indent="1"/>
    </xf>
    <xf numFmtId="164" fontId="3" fillId="5" borderId="5" xfId="0" applyNumberFormat="1" applyFont="1" applyFill="1" applyBorder="1" applyAlignment="1">
      <alignment horizontal="left" vertical="center" indent="1"/>
    </xf>
    <xf numFmtId="164" fontId="3" fillId="6" borderId="12" xfId="0" applyNumberFormat="1" applyFont="1" applyFill="1" applyBorder="1" applyAlignment="1">
      <alignment horizontal="left" vertical="center" indent="1"/>
    </xf>
    <xf numFmtId="164" fontId="3" fillId="7" borderId="2" xfId="0" applyNumberFormat="1" applyFont="1" applyFill="1" applyBorder="1" applyAlignment="1">
      <alignment horizontal="left" vertical="center" indent="1"/>
    </xf>
    <xf numFmtId="164" fontId="3" fillId="7" borderId="14" xfId="0" applyNumberFormat="1" applyFont="1" applyFill="1" applyBorder="1" applyAlignment="1">
      <alignment horizontal="left" vertical="center" indent="1"/>
    </xf>
    <xf numFmtId="164" fontId="3" fillId="7" borderId="15" xfId="0" applyNumberFormat="1" applyFont="1" applyFill="1" applyBorder="1" applyAlignment="1">
      <alignment horizontal="left" vertical="center" indent="1"/>
    </xf>
    <xf numFmtId="164" fontId="3" fillId="7" borderId="16" xfId="0" applyNumberFormat="1" applyFont="1" applyFill="1" applyBorder="1" applyAlignment="1">
      <alignment horizontal="left" vertical="center" indent="1"/>
    </xf>
    <xf numFmtId="164" fontId="3" fillId="0" borderId="2" xfId="0" applyNumberFormat="1" applyFont="1" applyBorder="1" applyAlignment="1">
      <alignment horizontal="left" vertical="center" indent="1"/>
    </xf>
    <xf numFmtId="164" fontId="3" fillId="11" borderId="12" xfId="0" applyNumberFormat="1" applyFont="1" applyFill="1" applyBorder="1" applyAlignment="1">
      <alignment horizontal="left" vertical="center" indent="1"/>
    </xf>
    <xf numFmtId="164" fontId="3" fillId="12" borderId="2" xfId="0" applyNumberFormat="1" applyFont="1" applyFill="1" applyBorder="1" applyAlignment="1">
      <alignment horizontal="left" vertical="center" indent="1"/>
    </xf>
    <xf numFmtId="164" fontId="3" fillId="11" borderId="2" xfId="0" applyNumberFormat="1" applyFont="1" applyFill="1" applyBorder="1" applyAlignment="1">
      <alignment horizontal="left" vertical="center" indent="1"/>
    </xf>
    <xf numFmtId="164" fontId="3" fillId="13" borderId="2" xfId="0" applyNumberFormat="1" applyFont="1" applyFill="1" applyBorder="1" applyAlignment="1">
      <alignment horizontal="left" vertical="center" indent="1"/>
    </xf>
    <xf numFmtId="164" fontId="3" fillId="0" borderId="12" xfId="0" applyNumberFormat="1" applyFont="1" applyBorder="1" applyAlignment="1">
      <alignment horizontal="left" vertical="center" indent="1"/>
    </xf>
    <xf numFmtId="164" fontId="3" fillId="10" borderId="16" xfId="0" applyNumberFormat="1" applyFont="1" applyFill="1" applyBorder="1" applyAlignment="1">
      <alignment horizontal="left" vertical="center" indent="1"/>
    </xf>
    <xf numFmtId="164" fontId="3" fillId="10" borderId="2" xfId="0" applyNumberFormat="1" applyFont="1" applyFill="1" applyBorder="1" applyAlignment="1">
      <alignment horizontal="left" vertical="center" indent="1"/>
    </xf>
    <xf numFmtId="164" fontId="3" fillId="0" borderId="16" xfId="0" applyNumberFormat="1" applyFont="1" applyBorder="1" applyAlignment="1">
      <alignment horizontal="left" vertical="center" indent="1"/>
    </xf>
    <xf numFmtId="164" fontId="3" fillId="12" borderId="16" xfId="0" applyNumberFormat="1" applyFont="1" applyFill="1" applyBorder="1" applyAlignment="1">
      <alignment horizontal="left" vertical="center" indent="1"/>
    </xf>
    <xf numFmtId="164" fontId="3" fillId="11" borderId="16" xfId="0" applyNumberFormat="1" applyFont="1" applyFill="1" applyBorder="1" applyAlignment="1">
      <alignment horizontal="left" vertical="center" indent="1"/>
    </xf>
    <xf numFmtId="164" fontId="3" fillId="14" borderId="16" xfId="0" applyNumberFormat="1" applyFont="1" applyFill="1" applyBorder="1" applyAlignment="1">
      <alignment horizontal="left" vertical="center" indent="1"/>
    </xf>
    <xf numFmtId="164" fontId="3" fillId="15" borderId="16" xfId="0" applyNumberFormat="1" applyFont="1" applyFill="1" applyBorder="1" applyAlignment="1">
      <alignment horizontal="left" vertical="center" indent="1"/>
    </xf>
    <xf numFmtId="164" fontId="3" fillId="4" borderId="5" xfId="0" applyNumberFormat="1" applyFont="1" applyFill="1" applyBorder="1" applyAlignment="1">
      <alignment horizontal="left" vertical="center" indent="1"/>
    </xf>
    <xf numFmtId="164" fontId="3" fillId="18" borderId="19" xfId="0" applyNumberFormat="1" applyFont="1" applyFill="1" applyBorder="1" applyAlignment="1">
      <alignment horizontal="left" vertical="center" indent="1"/>
    </xf>
    <xf numFmtId="164" fontId="3" fillId="6" borderId="5" xfId="0" applyNumberFormat="1" applyFont="1" applyFill="1" applyBorder="1" applyAlignment="1">
      <alignment horizontal="left" vertical="center" indent="1"/>
    </xf>
    <xf numFmtId="164" fontId="3" fillId="0" borderId="18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3" fillId="4" borderId="5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6" borderId="12" xfId="0" applyNumberFormat="1" applyFont="1" applyFill="1" applyBorder="1" applyAlignment="1">
      <alignment horizontal="center"/>
    </xf>
    <xf numFmtId="3" fontId="3" fillId="6" borderId="16" xfId="0" applyNumberFormat="1" applyFont="1" applyFill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 indent="1"/>
    </xf>
    <xf numFmtId="3" fontId="3" fillId="0" borderId="2" xfId="0" applyNumberFormat="1" applyFont="1" applyBorder="1" applyAlignment="1">
      <alignment horizontal="right" indent="1"/>
    </xf>
    <xf numFmtId="3" fontId="3" fillId="0" borderId="18" xfId="0" applyNumberFormat="1" applyFont="1" applyBorder="1" applyAlignment="1">
      <alignment horizontal="right" indent="1"/>
    </xf>
    <xf numFmtId="3" fontId="3" fillId="9" borderId="11" xfId="0" applyNumberFormat="1" applyFont="1" applyFill="1" applyBorder="1" applyAlignment="1">
      <alignment horizontal="right" indent="1"/>
    </xf>
    <xf numFmtId="3" fontId="3" fillId="9" borderId="0" xfId="0" applyNumberFormat="1" applyFont="1" applyFill="1" applyAlignment="1">
      <alignment horizontal="right" indent="1"/>
    </xf>
    <xf numFmtId="3" fontId="3" fillId="9" borderId="8" xfId="0" applyNumberFormat="1" applyFont="1" applyFill="1" applyBorder="1" applyAlignment="1">
      <alignment horizontal="right" indent="1"/>
    </xf>
    <xf numFmtId="3" fontId="3" fillId="16" borderId="0" xfId="0" applyNumberFormat="1" applyFont="1" applyFill="1" applyAlignment="1">
      <alignment horizontal="right" indent="1"/>
    </xf>
    <xf numFmtId="3" fontId="3" fillId="17" borderId="0" xfId="0" applyNumberFormat="1" applyFont="1" applyFill="1" applyAlignment="1">
      <alignment horizontal="right" indent="1"/>
    </xf>
    <xf numFmtId="3" fontId="3" fillId="10" borderId="0" xfId="0" applyNumberFormat="1" applyFont="1" applyFill="1" applyAlignment="1">
      <alignment horizontal="right" indent="1"/>
    </xf>
    <xf numFmtId="3" fontId="3" fillId="13" borderId="2" xfId="0" applyNumberFormat="1" applyFont="1" applyFill="1" applyBorder="1" applyAlignment="1">
      <alignment horizontal="right" indent="1"/>
    </xf>
    <xf numFmtId="2" fontId="3" fillId="0" borderId="11" xfId="0" applyNumberFormat="1" applyFont="1" applyBorder="1" applyAlignment="1">
      <alignment horizontal="right" indent="1"/>
    </xf>
    <xf numFmtId="2" fontId="3" fillId="0" borderId="0" xfId="0" applyNumberFormat="1" applyFont="1" applyAlignment="1">
      <alignment horizontal="right" indent="1"/>
    </xf>
    <xf numFmtId="2" fontId="3" fillId="0" borderId="8" xfId="0" applyNumberFormat="1" applyFont="1" applyBorder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3" fontId="1" fillId="2" borderId="0" xfId="0" applyNumberFormat="1" applyFont="1" applyFill="1" applyAlignment="1">
      <alignment horizontal="left"/>
    </xf>
    <xf numFmtId="164" fontId="3" fillId="3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EFBE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DDEAF8"/>
      <rgbColor rgb="FFC3B9C0"/>
      <rgbColor rgb="FF993366"/>
      <rgbColor rgb="FFFFF2CC"/>
      <rgbColor rgb="FFE7FFFF"/>
      <rgbColor rgb="FF660066"/>
      <rgbColor rgb="FFFF5E63"/>
      <rgbColor rgb="FF0066CC"/>
      <rgbColor rgb="FFD0CECE"/>
      <rgbColor rgb="FF000080"/>
      <rgbColor rgb="FFFF00FF"/>
      <rgbColor rgb="FFFBEC85"/>
      <rgbColor rgb="FF00FFFF"/>
      <rgbColor rgb="FF800080"/>
      <rgbColor rgb="FF800000"/>
      <rgbColor rgb="FF008080"/>
      <rgbColor rgb="FF0000FF"/>
      <rgbColor rgb="FF00CCFF"/>
      <rgbColor rgb="FFE8FFFF"/>
      <rgbColor rgb="FFCCFFCC"/>
      <rgbColor rgb="FFFFFF99"/>
      <rgbColor rgb="FFA6CAF0"/>
      <rgbColor rgb="FFD9D9D9"/>
      <rgbColor rgb="FFCC99FF"/>
      <rgbColor rgb="FFFFE699"/>
      <rgbColor rgb="FF3366FF"/>
      <rgbColor rgb="FF6CFF79"/>
      <rgbColor rgb="FF83FFB7"/>
      <rgbColor rgb="FFFDF4B6"/>
      <rgbColor rgb="FFF8DEFD"/>
      <rgbColor rgb="FFFFE3FF"/>
      <rgbColor rgb="FF666699"/>
      <rgbColor rgb="FFAFABAB"/>
      <rgbColor rgb="FF103154"/>
      <rgbColor rgb="FFDEEBF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22"/>
  <sheetViews>
    <sheetView tabSelected="1" zoomScale="130" zoomScaleNormal="130" zoomScalePageLayoutView="142" workbookViewId="0">
      <pane ySplit="8" topLeftCell="A96" activePane="bottomLeft" state="frozen"/>
      <selection pane="bottomLeft" activeCell="B162" sqref="B162"/>
    </sheetView>
  </sheetViews>
  <sheetFormatPr baseColWidth="10" defaultColWidth="8.7109375" defaultRowHeight="14" x14ac:dyDescent="0.2"/>
  <cols>
    <col min="1" max="1" width="38.5703125" style="1" customWidth="1"/>
    <col min="2" max="2" width="12.42578125" style="1" customWidth="1"/>
    <col min="3" max="3" width="4.7109375" style="2" customWidth="1"/>
    <col min="4" max="4" width="4.5703125" style="2" customWidth="1"/>
    <col min="5" max="5" width="5.5703125" style="1" customWidth="1"/>
    <col min="6" max="6" width="6.140625" style="3" customWidth="1"/>
    <col min="7" max="7" width="6.7109375" style="6" customWidth="1"/>
    <col min="8" max="8" width="12.85546875" style="4" customWidth="1"/>
    <col min="9" max="9" width="9" style="5" customWidth="1"/>
    <col min="10" max="10" width="6.140625" style="1" customWidth="1"/>
    <col min="11" max="11" width="16.42578125" style="205" customWidth="1"/>
    <col min="12" max="12" width="20" style="2" customWidth="1"/>
    <col min="13" max="13" width="17.5703125" style="2" customWidth="1"/>
    <col min="14" max="14" width="10.28515625" style="1" customWidth="1"/>
    <col min="15" max="15" width="6.28515625" style="1" customWidth="1"/>
    <col min="16" max="16" width="5.85546875" style="1" customWidth="1"/>
    <col min="17" max="17" width="7.28515625" style="2" customWidth="1"/>
    <col min="18" max="18" width="7.7109375" style="2" customWidth="1"/>
    <col min="19" max="19" width="9.5703125" style="2" customWidth="1"/>
    <col min="20" max="20" width="9.42578125" style="1" customWidth="1"/>
    <col min="21" max="21" width="14" style="1" customWidth="1"/>
    <col min="22" max="22" width="13.7109375" style="1" customWidth="1"/>
    <col min="23" max="23" width="11.42578125" style="1" customWidth="1"/>
    <col min="24" max="1024" width="11.42578125" customWidth="1"/>
  </cols>
  <sheetData>
    <row r="1" spans="1:21" x14ac:dyDescent="0.2">
      <c r="H1" s="6"/>
      <c r="K1" s="204"/>
    </row>
    <row r="2" spans="1:21" ht="16" x14ac:dyDescent="0.2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</row>
    <row r="3" spans="1:21" x14ac:dyDescent="0.2">
      <c r="H3" s="6"/>
    </row>
    <row r="4" spans="1:21" x14ac:dyDescent="0.2">
      <c r="A4" s="7" t="s">
        <v>0</v>
      </c>
      <c r="B4" s="8"/>
      <c r="C4" s="8"/>
      <c r="D4" s="8"/>
      <c r="E4" s="8"/>
      <c r="F4" s="9"/>
      <c r="G4" s="9"/>
      <c r="H4" s="257">
        <v>42612.666666666701</v>
      </c>
      <c r="I4" s="257"/>
      <c r="K4" s="206" t="s">
        <v>1</v>
      </c>
      <c r="L4" s="10" t="s">
        <v>2</v>
      </c>
    </row>
    <row r="5" spans="1:21" x14ac:dyDescent="0.2">
      <c r="A5" s="11"/>
      <c r="B5" s="12"/>
      <c r="C5" s="12"/>
      <c r="D5" s="12"/>
      <c r="E5" s="12"/>
      <c r="F5" s="13"/>
      <c r="G5" s="13"/>
      <c r="H5" s="12"/>
      <c r="I5" s="14"/>
      <c r="J5" s="15"/>
      <c r="L5" s="12"/>
    </row>
    <row r="6" spans="1:21" x14ac:dyDescent="0.2">
      <c r="A6" s="11"/>
      <c r="B6" s="12"/>
      <c r="C6" s="12"/>
      <c r="D6" s="12"/>
      <c r="E6" s="12"/>
      <c r="F6" s="12"/>
      <c r="G6" s="13" t="s">
        <v>3</v>
      </c>
      <c r="H6" s="13" t="s">
        <v>4</v>
      </c>
      <c r="I6" s="16" t="s">
        <v>5</v>
      </c>
      <c r="J6" s="17"/>
      <c r="K6" s="207"/>
      <c r="L6" s="18"/>
    </row>
    <row r="7" spans="1:21" x14ac:dyDescent="0.2">
      <c r="A7" s="19" t="s">
        <v>6</v>
      </c>
      <c r="B7" s="12"/>
      <c r="C7" s="12"/>
      <c r="D7" s="12"/>
      <c r="E7" s="20" t="s">
        <v>7</v>
      </c>
      <c r="F7" s="20" t="s">
        <v>8</v>
      </c>
      <c r="G7" s="20" t="s">
        <v>9</v>
      </c>
      <c r="H7" s="21" t="s">
        <v>10</v>
      </c>
      <c r="I7" s="21" t="s">
        <v>11</v>
      </c>
      <c r="J7" s="20" t="s">
        <v>12</v>
      </c>
      <c r="K7" s="208" t="s">
        <v>13</v>
      </c>
      <c r="L7" s="15"/>
      <c r="M7" s="18"/>
    </row>
    <row r="8" spans="1:21" x14ac:dyDescent="0.2">
      <c r="A8" s="11" t="s">
        <v>14</v>
      </c>
      <c r="B8" s="20" t="s">
        <v>15</v>
      </c>
      <c r="C8" s="20" t="s">
        <v>16</v>
      </c>
      <c r="D8" s="20" t="s">
        <v>17</v>
      </c>
      <c r="E8" s="20" t="s">
        <v>18</v>
      </c>
      <c r="F8" s="12" t="s">
        <v>19</v>
      </c>
      <c r="G8" s="30"/>
      <c r="H8" s="23"/>
      <c r="I8" s="23"/>
      <c r="J8" s="18"/>
      <c r="K8" s="209">
        <f>H4</f>
        <v>42612.666666666701</v>
      </c>
      <c r="L8" s="15"/>
      <c r="M8" s="18"/>
    </row>
    <row r="9" spans="1:21" x14ac:dyDescent="0.2">
      <c r="A9" s="24" t="s">
        <v>20</v>
      </c>
      <c r="B9" s="25"/>
      <c r="C9" s="25"/>
      <c r="D9" s="25"/>
      <c r="E9" s="26"/>
      <c r="F9" s="26"/>
      <c r="G9" s="234">
        <v>1650</v>
      </c>
      <c r="H9" s="27">
        <f>(G9*nM_km/9.47)/24</f>
        <v>3.9199609543380132</v>
      </c>
      <c r="I9" s="27">
        <f>H9*24</f>
        <v>94.07906290411232</v>
      </c>
      <c r="J9" s="28">
        <f>H9</f>
        <v>3.9199609543380132</v>
      </c>
      <c r="K9" s="210">
        <f>K8+H9</f>
        <v>42616.586627621036</v>
      </c>
      <c r="L9" s="15"/>
      <c r="M9" s="18"/>
    </row>
    <row r="10" spans="1:21" x14ac:dyDescent="0.2">
      <c r="A10" s="29"/>
      <c r="B10" s="30"/>
      <c r="C10" s="30"/>
      <c r="D10" s="30"/>
      <c r="E10" s="12"/>
      <c r="F10" s="12"/>
      <c r="G10" s="235"/>
      <c r="H10" s="31"/>
      <c r="I10" s="32"/>
      <c r="J10" s="33"/>
      <c r="K10" s="209"/>
      <c r="L10" s="15"/>
      <c r="M10" s="18"/>
    </row>
    <row r="11" spans="1:21" x14ac:dyDescent="0.2">
      <c r="A11" s="34" t="s">
        <v>21</v>
      </c>
      <c r="B11" s="35"/>
      <c r="C11" s="35"/>
      <c r="D11" s="35"/>
      <c r="E11" s="36"/>
      <c r="F11" s="36"/>
      <c r="G11" s="236"/>
      <c r="H11" s="37"/>
      <c r="I11" s="38"/>
      <c r="J11" s="39"/>
      <c r="K11" s="211"/>
      <c r="L11" s="40" t="s">
        <v>22</v>
      </c>
      <c r="M11" s="18"/>
    </row>
    <row r="12" spans="1:21" x14ac:dyDescent="0.2">
      <c r="A12" s="41" t="s">
        <v>23</v>
      </c>
      <c r="B12" s="30">
        <v>0</v>
      </c>
      <c r="C12" s="1"/>
      <c r="D12" s="1"/>
      <c r="E12" s="30">
        <v>61</v>
      </c>
      <c r="F12" s="12">
        <v>1</v>
      </c>
      <c r="G12" s="242">
        <v>1</v>
      </c>
      <c r="H12" s="42">
        <f>F12*(3.5+(2*G12/wire)/3600)/24</f>
        <v>0.14586720867208672</v>
      </c>
      <c r="I12" s="31">
        <f t="shared" ref="I12:I43" si="0">H12*24</f>
        <v>3.5008130081300814</v>
      </c>
      <c r="J12" s="33">
        <f>J9+H12</f>
        <v>4.0658281630101003</v>
      </c>
      <c r="K12" s="212">
        <f>K9+H12</f>
        <v>42616.73249482971</v>
      </c>
      <c r="L12" s="43"/>
      <c r="M12" s="18"/>
    </row>
    <row r="13" spans="1:21" x14ac:dyDescent="0.2">
      <c r="A13" s="41" t="s">
        <v>24</v>
      </c>
      <c r="B13" s="30">
        <f t="shared" ref="B13:B44" si="1">nobs_whoi-E13</f>
        <v>61</v>
      </c>
      <c r="C13" s="30">
        <v>0</v>
      </c>
      <c r="D13" s="30">
        <v>0</v>
      </c>
      <c r="E13" s="30">
        <f>E11-C13+D13</f>
        <v>0</v>
      </c>
      <c r="F13" s="30">
        <v>0</v>
      </c>
      <c r="G13" s="241">
        <v>0</v>
      </c>
      <c r="H13" s="42">
        <f>-1/24</f>
        <v>-4.1666666666666664E-2</v>
      </c>
      <c r="I13" s="31">
        <f t="shared" si="0"/>
        <v>-1</v>
      </c>
      <c r="J13" s="33">
        <f t="shared" ref="J13:J50" si="2">J12+H13</f>
        <v>4.0241614963434333</v>
      </c>
      <c r="K13" s="212">
        <f>K12+H13</f>
        <v>42616.690828163046</v>
      </c>
      <c r="L13" s="43"/>
      <c r="M13" s="18"/>
    </row>
    <row r="14" spans="1:21" x14ac:dyDescent="0.2">
      <c r="A14" s="41" t="s">
        <v>25</v>
      </c>
      <c r="B14" s="30">
        <f t="shared" si="1"/>
        <v>0</v>
      </c>
      <c r="C14" s="30">
        <v>0</v>
      </c>
      <c r="D14" s="30">
        <v>0</v>
      </c>
      <c r="E14" s="30">
        <f>E12-C14+D14</f>
        <v>61</v>
      </c>
      <c r="F14" s="30">
        <v>0</v>
      </c>
      <c r="G14" s="241">
        <v>1120</v>
      </c>
      <c r="H14" s="42">
        <f>(G14*nM_km/Dspeed)/24</f>
        <v>2.6524193853965365</v>
      </c>
      <c r="I14" s="31">
        <f t="shared" si="0"/>
        <v>63.658065249516881</v>
      </c>
      <c r="J14" s="33">
        <f t="shared" si="2"/>
        <v>6.6765808817399694</v>
      </c>
      <c r="K14" s="212">
        <f>K13+H14</f>
        <v>42619.343247548444</v>
      </c>
      <c r="L14" s="43"/>
      <c r="M14" s="18"/>
    </row>
    <row r="15" spans="1:21" x14ac:dyDescent="0.2">
      <c r="A15" s="44" t="s">
        <v>26</v>
      </c>
      <c r="B15" s="30">
        <f t="shared" si="1"/>
        <v>2</v>
      </c>
      <c r="C15" s="30">
        <v>2</v>
      </c>
      <c r="D15" s="30">
        <v>0</v>
      </c>
      <c r="E15" s="30">
        <f t="shared" ref="E15:E46" si="3">E14-C15+D15</f>
        <v>59</v>
      </c>
      <c r="F15" s="30">
        <v>0</v>
      </c>
      <c r="G15" s="242">
        <v>30</v>
      </c>
      <c r="H15" s="42">
        <f>(F15*teth_hrs_D2+C15*obh_dep +  G15*nM_km/Dspeed)/24</f>
        <v>9.8824725600899291E-2</v>
      </c>
      <c r="I15" s="31">
        <f t="shared" si="0"/>
        <v>2.3717934144215831</v>
      </c>
      <c r="J15" s="33">
        <f t="shared" si="2"/>
        <v>6.7754056073408684</v>
      </c>
      <c r="K15" s="213">
        <v>42619.399305555598</v>
      </c>
      <c r="L15" s="45" t="s">
        <v>27</v>
      </c>
      <c r="N15" s="46">
        <v>42637</v>
      </c>
    </row>
    <row r="16" spans="1:21" x14ac:dyDescent="0.2">
      <c r="A16" s="47" t="s">
        <v>28</v>
      </c>
      <c r="B16" s="30">
        <f t="shared" si="1"/>
        <v>8</v>
      </c>
      <c r="C16" s="30">
        <v>6</v>
      </c>
      <c r="D16" s="30">
        <v>0</v>
      </c>
      <c r="E16" s="30">
        <f t="shared" si="3"/>
        <v>53</v>
      </c>
      <c r="F16" s="30">
        <v>0</v>
      </c>
      <c r="G16" s="242">
        <v>63</v>
      </c>
      <c r="H16" s="42">
        <f>(F16*teth_hrs_D2+C16*obh_dep +  G16*nM_km/Dspeed)/24</f>
        <v>0.2325319237618885</v>
      </c>
      <c r="I16" s="31">
        <f t="shared" si="0"/>
        <v>5.5807661702853242</v>
      </c>
      <c r="J16" s="33">
        <f t="shared" si="2"/>
        <v>7.0079375311027565</v>
      </c>
      <c r="K16" s="214">
        <v>42619.595833333296</v>
      </c>
      <c r="L16" s="45" t="s">
        <v>29</v>
      </c>
      <c r="M16" s="18"/>
      <c r="N16" s="46">
        <v>42591</v>
      </c>
    </row>
    <row r="17" spans="1:14" x14ac:dyDescent="0.2">
      <c r="A17" s="41" t="s">
        <v>30</v>
      </c>
      <c r="B17" s="30">
        <f t="shared" si="1"/>
        <v>8</v>
      </c>
      <c r="C17" s="30">
        <v>0</v>
      </c>
      <c r="D17" s="30">
        <v>0</v>
      </c>
      <c r="E17" s="30">
        <f t="shared" si="3"/>
        <v>53</v>
      </c>
      <c r="F17" s="30">
        <v>0</v>
      </c>
      <c r="G17" s="241">
        <v>75</v>
      </c>
      <c r="H17" s="42">
        <f>(G17*nM_km/Dspeed)/24</f>
        <v>0.1776173695578038</v>
      </c>
      <c r="I17" s="31">
        <f t="shared" si="0"/>
        <v>4.262816869387291</v>
      </c>
      <c r="J17" s="33">
        <f t="shared" si="2"/>
        <v>7.1855549006605601</v>
      </c>
      <c r="K17" s="214">
        <v>42619.791666666701</v>
      </c>
      <c r="L17" s="48" t="s">
        <v>31</v>
      </c>
      <c r="M17" s="18"/>
      <c r="N17" s="1">
        <f>N15-N16</f>
        <v>46</v>
      </c>
    </row>
    <row r="18" spans="1:14" x14ac:dyDescent="0.2">
      <c r="A18" s="44" t="s">
        <v>32</v>
      </c>
      <c r="B18" s="30">
        <f t="shared" si="1"/>
        <v>13</v>
      </c>
      <c r="C18" s="30">
        <v>5</v>
      </c>
      <c r="D18" s="30">
        <v>0</v>
      </c>
      <c r="E18" s="30">
        <f t="shared" si="3"/>
        <v>48</v>
      </c>
      <c r="F18" s="30">
        <v>0</v>
      </c>
      <c r="G18" s="242">
        <v>50</v>
      </c>
      <c r="H18" s="42">
        <f>(F18*teth_hrs_D2+C18*obh_dep +  G18*nM_km/Dspeed)/24</f>
        <v>0.18785602414964697</v>
      </c>
      <c r="I18" s="31">
        <f t="shared" si="0"/>
        <v>4.5085445795915273</v>
      </c>
      <c r="J18" s="33">
        <f t="shared" si="2"/>
        <v>7.3734109248102069</v>
      </c>
      <c r="K18" s="214">
        <v>42620.006944444402</v>
      </c>
      <c r="L18" s="48" t="s">
        <v>33</v>
      </c>
      <c r="M18" s="18"/>
    </row>
    <row r="19" spans="1:14" x14ac:dyDescent="0.2">
      <c r="A19" s="47" t="s">
        <v>34</v>
      </c>
      <c r="B19" s="30">
        <f t="shared" si="1"/>
        <v>20</v>
      </c>
      <c r="C19" s="30">
        <v>7</v>
      </c>
      <c r="D19" s="30">
        <v>0</v>
      </c>
      <c r="E19" s="30">
        <f t="shared" si="3"/>
        <v>41</v>
      </c>
      <c r="F19" s="30">
        <v>0</v>
      </c>
      <c r="G19" s="242">
        <v>65</v>
      </c>
      <c r="H19" s="42">
        <f>(F19*teth_hrs_D2+C19*obh_dep +  G19*nM_km/Dspeed)/24</f>
        <v>0.25115727583898551</v>
      </c>
      <c r="I19" s="31">
        <f t="shared" si="0"/>
        <v>6.0277746201356521</v>
      </c>
      <c r="J19" s="33">
        <f t="shared" si="2"/>
        <v>7.6245682006491924</v>
      </c>
      <c r="K19" s="214">
        <v>42620.235416666699</v>
      </c>
      <c r="L19" s="45" t="s">
        <v>35</v>
      </c>
      <c r="M19" s="18"/>
    </row>
    <row r="20" spans="1:14" x14ac:dyDescent="0.2">
      <c r="A20" s="41" t="s">
        <v>36</v>
      </c>
      <c r="B20" s="30">
        <f t="shared" si="1"/>
        <v>20</v>
      </c>
      <c r="C20" s="30">
        <v>0</v>
      </c>
      <c r="D20" s="30">
        <v>0</v>
      </c>
      <c r="E20" s="30">
        <f t="shared" si="3"/>
        <v>41</v>
      </c>
      <c r="F20" s="30">
        <v>0</v>
      </c>
      <c r="G20" s="241">
        <v>50</v>
      </c>
      <c r="H20" s="42">
        <f>(G20*nM_km/Dspeed)/24</f>
        <v>0.11841157970520254</v>
      </c>
      <c r="I20" s="31">
        <f t="shared" si="0"/>
        <v>2.8418779129248608</v>
      </c>
      <c r="J20" s="33">
        <f t="shared" si="2"/>
        <v>7.7429797803543945</v>
      </c>
      <c r="K20" s="212">
        <f>K19+H20</f>
        <v>42620.353828246407</v>
      </c>
      <c r="L20" s="43"/>
      <c r="M20" s="18"/>
      <c r="N20" s="46">
        <v>42656</v>
      </c>
    </row>
    <row r="21" spans="1:14" x14ac:dyDescent="0.2">
      <c r="A21" s="44" t="s">
        <v>37</v>
      </c>
      <c r="B21" s="30">
        <f t="shared" si="1"/>
        <v>25</v>
      </c>
      <c r="C21" s="30">
        <v>5</v>
      </c>
      <c r="D21" s="30">
        <v>0</v>
      </c>
      <c r="E21" s="30">
        <f t="shared" si="3"/>
        <v>36</v>
      </c>
      <c r="F21" s="30">
        <v>0</v>
      </c>
      <c r="G21" s="242">
        <v>40</v>
      </c>
      <c r="H21" s="42">
        <f>(F21*teth_hrs_D2+C21*obh_dep +  G21*nM_km/Dspeed)/24</f>
        <v>0.16417370820860647</v>
      </c>
      <c r="I21" s="31">
        <f t="shared" si="0"/>
        <v>3.9401689970065554</v>
      </c>
      <c r="J21" s="33">
        <f t="shared" si="2"/>
        <v>7.9071534885630008</v>
      </c>
      <c r="K21" s="215">
        <v>42620.561111111099</v>
      </c>
      <c r="L21" s="45" t="s">
        <v>38</v>
      </c>
      <c r="M21" s="18"/>
      <c r="N21" s="46">
        <v>42591</v>
      </c>
    </row>
    <row r="22" spans="1:14" x14ac:dyDescent="0.2">
      <c r="A22" s="41" t="s">
        <v>39</v>
      </c>
      <c r="B22" s="30">
        <f t="shared" si="1"/>
        <v>25</v>
      </c>
      <c r="C22" s="30">
        <v>0</v>
      </c>
      <c r="D22" s="30">
        <v>0</v>
      </c>
      <c r="E22" s="30">
        <f t="shared" si="3"/>
        <v>36</v>
      </c>
      <c r="F22" s="30">
        <v>0</v>
      </c>
      <c r="G22" s="241">
        <v>25</v>
      </c>
      <c r="H22" s="42">
        <f>(G22*nM_km/Dspeed)/24</f>
        <v>5.9205789852601269E-2</v>
      </c>
      <c r="I22" s="31">
        <f t="shared" si="0"/>
        <v>1.4209389564624304</v>
      </c>
      <c r="J22" s="33">
        <f t="shared" si="2"/>
        <v>7.9663592784156023</v>
      </c>
      <c r="K22" s="212">
        <f>K21+H22</f>
        <v>42620.620316900953</v>
      </c>
      <c r="L22" s="43"/>
      <c r="N22" s="46"/>
    </row>
    <row r="23" spans="1:14" x14ac:dyDescent="0.2">
      <c r="A23" s="47" t="s">
        <v>40</v>
      </c>
      <c r="B23" s="30">
        <f t="shared" si="1"/>
        <v>30</v>
      </c>
      <c r="C23" s="30">
        <v>5</v>
      </c>
      <c r="D23" s="30">
        <v>0</v>
      </c>
      <c r="E23" s="30">
        <f t="shared" si="3"/>
        <v>31</v>
      </c>
      <c r="F23" s="30">
        <v>0</v>
      </c>
      <c r="G23" s="242">
        <v>125</v>
      </c>
      <c r="H23" s="42">
        <f>(F23*teth_hrs_D2+C23*obh_dep +  G23*nM_km/Dspeed)/24</f>
        <v>0.36547339370745074</v>
      </c>
      <c r="I23" s="31">
        <f t="shared" si="0"/>
        <v>8.7713614489788174</v>
      </c>
      <c r="J23" s="33">
        <f t="shared" si="2"/>
        <v>8.3318326721230527</v>
      </c>
      <c r="K23" s="215">
        <v>42620.996527777803</v>
      </c>
      <c r="L23" s="48" t="s">
        <v>41</v>
      </c>
      <c r="M23" s="18"/>
      <c r="N23" s="1">
        <f>N20-N21</f>
        <v>65</v>
      </c>
    </row>
    <row r="24" spans="1:14" x14ac:dyDescent="0.2">
      <c r="A24" s="44" t="s">
        <v>42</v>
      </c>
      <c r="B24" s="30">
        <f t="shared" si="1"/>
        <v>33</v>
      </c>
      <c r="C24" s="30">
        <v>3</v>
      </c>
      <c r="D24" s="30">
        <v>0</v>
      </c>
      <c r="E24" s="30">
        <f t="shared" si="3"/>
        <v>28</v>
      </c>
      <c r="F24" s="30">
        <v>0</v>
      </c>
      <c r="G24" s="242">
        <v>30</v>
      </c>
      <c r="H24" s="42">
        <f>(F24*teth_hrs_D2+C24*obh_dep +  G24*nM_km/Dspeed)/24</f>
        <v>0.11271361448978819</v>
      </c>
      <c r="I24" s="31">
        <f t="shared" si="0"/>
        <v>2.7051267477549166</v>
      </c>
      <c r="J24" s="33">
        <f t="shared" si="2"/>
        <v>8.4445462866128409</v>
      </c>
      <c r="K24" s="215">
        <v>42621.104861111096</v>
      </c>
      <c r="L24" s="48" t="s">
        <v>43</v>
      </c>
      <c r="M24" s="18"/>
    </row>
    <row r="25" spans="1:14" x14ac:dyDescent="0.2">
      <c r="A25" s="22" t="s">
        <v>44</v>
      </c>
      <c r="B25" s="30">
        <f t="shared" si="1"/>
        <v>33</v>
      </c>
      <c r="C25" s="30">
        <v>0</v>
      </c>
      <c r="D25" s="30">
        <v>0</v>
      </c>
      <c r="E25" s="30">
        <f t="shared" si="3"/>
        <v>28</v>
      </c>
      <c r="F25" s="30">
        <v>0</v>
      </c>
      <c r="G25" s="242"/>
      <c r="H25" s="31">
        <f>4/24</f>
        <v>0.16666666666666666</v>
      </c>
      <c r="I25" s="31">
        <f t="shared" si="0"/>
        <v>4</v>
      </c>
      <c r="J25" s="33">
        <f t="shared" si="2"/>
        <v>8.611212953279507</v>
      </c>
      <c r="K25" s="215">
        <v>42621.438194444498</v>
      </c>
      <c r="L25" s="48" t="s">
        <v>45</v>
      </c>
      <c r="M25" s="18"/>
    </row>
    <row r="26" spans="1:14" x14ac:dyDescent="0.2">
      <c r="A26" s="49" t="s">
        <v>46</v>
      </c>
      <c r="B26" s="50">
        <f t="shared" si="1"/>
        <v>33</v>
      </c>
      <c r="C26" s="50">
        <v>0</v>
      </c>
      <c r="D26" s="50">
        <v>0</v>
      </c>
      <c r="E26" s="50">
        <f t="shared" si="3"/>
        <v>28</v>
      </c>
      <c r="F26" s="50">
        <v>0</v>
      </c>
      <c r="G26" s="249">
        <v>550</v>
      </c>
      <c r="H26" s="51">
        <f>(1+G26*nM_km/mcs_shoot)/24</f>
        <v>2.7914466842652588</v>
      </c>
      <c r="I26" s="197">
        <f t="shared" si="0"/>
        <v>66.994720422366214</v>
      </c>
      <c r="J26" s="52">
        <f t="shared" si="2"/>
        <v>11.402659637544765</v>
      </c>
      <c r="K26" s="215">
        <v>42624.106249999997</v>
      </c>
      <c r="L26" s="45" t="s">
        <v>47</v>
      </c>
      <c r="M26" s="18"/>
    </row>
    <row r="27" spans="1:14" x14ac:dyDescent="0.2">
      <c r="A27" s="41" t="s">
        <v>48</v>
      </c>
      <c r="B27" s="30">
        <f t="shared" si="1"/>
        <v>33</v>
      </c>
      <c r="C27" s="30">
        <v>0</v>
      </c>
      <c r="D27" s="30">
        <v>0</v>
      </c>
      <c r="E27" s="30">
        <f t="shared" si="3"/>
        <v>28</v>
      </c>
      <c r="F27" s="30">
        <v>0</v>
      </c>
      <c r="G27" s="242"/>
      <c r="H27" s="42">
        <f>1/24</f>
        <v>4.1666666666666664E-2</v>
      </c>
      <c r="I27" s="31">
        <f t="shared" si="0"/>
        <v>1</v>
      </c>
      <c r="J27" s="33">
        <f t="shared" si="2"/>
        <v>11.444326304211431</v>
      </c>
      <c r="K27" s="215">
        <v>42624.182638888902</v>
      </c>
      <c r="L27" s="45" t="s">
        <v>49</v>
      </c>
      <c r="M27" s="18"/>
    </row>
    <row r="28" spans="1:14" x14ac:dyDescent="0.2">
      <c r="A28" s="53" t="s">
        <v>50</v>
      </c>
      <c r="B28" s="30">
        <f t="shared" si="1"/>
        <v>31</v>
      </c>
      <c r="C28" s="30">
        <v>0</v>
      </c>
      <c r="D28" s="30">
        <v>2</v>
      </c>
      <c r="E28" s="30">
        <f t="shared" si="3"/>
        <v>30</v>
      </c>
      <c r="F28" s="30">
        <v>0</v>
      </c>
      <c r="G28" s="242">
        <v>30</v>
      </c>
      <c r="H28" s="31">
        <f>(D28*obh_rec_strike + G28*nM_km/Dspeed)/24</f>
        <v>0.13258909341699124</v>
      </c>
      <c r="I28" s="31">
        <f t="shared" si="0"/>
        <v>3.1821382420077899</v>
      </c>
      <c r="J28" s="33">
        <f t="shared" si="2"/>
        <v>11.576915397628422</v>
      </c>
      <c r="K28" s="215">
        <v>42624.385416666701</v>
      </c>
      <c r="L28" s="45" t="s">
        <v>51</v>
      </c>
      <c r="M28" s="18"/>
    </row>
    <row r="29" spans="1:14" x14ac:dyDescent="0.2">
      <c r="A29" s="54" t="s">
        <v>52</v>
      </c>
      <c r="B29" s="30">
        <f t="shared" si="1"/>
        <v>25</v>
      </c>
      <c r="C29" s="30">
        <v>0</v>
      </c>
      <c r="D29" s="30">
        <v>6</v>
      </c>
      <c r="E29" s="30">
        <f t="shared" si="3"/>
        <v>36</v>
      </c>
      <c r="F29" s="30">
        <v>0</v>
      </c>
      <c r="G29" s="242">
        <v>63</v>
      </c>
      <c r="H29" s="31">
        <f>(D29*obh_rec_strike + G29*nM_km/Dspeed)/24</f>
        <v>0.33382502721016438</v>
      </c>
      <c r="I29" s="31">
        <f t="shared" si="0"/>
        <v>8.0118006530439452</v>
      </c>
      <c r="J29" s="33">
        <f t="shared" si="2"/>
        <v>11.910740424838586</v>
      </c>
      <c r="K29" s="215">
        <v>42624.690972222197</v>
      </c>
      <c r="L29" s="48" t="s">
        <v>53</v>
      </c>
      <c r="M29" s="18"/>
    </row>
    <row r="30" spans="1:14" x14ac:dyDescent="0.2">
      <c r="A30" s="41" t="s">
        <v>54</v>
      </c>
      <c r="B30" s="30">
        <f t="shared" si="1"/>
        <v>25</v>
      </c>
      <c r="C30" s="30">
        <v>0</v>
      </c>
      <c r="D30" s="30">
        <v>0</v>
      </c>
      <c r="E30" s="30">
        <f t="shared" si="3"/>
        <v>36</v>
      </c>
      <c r="F30" s="30">
        <v>0</v>
      </c>
      <c r="G30" s="241">
        <v>70</v>
      </c>
      <c r="H30" s="42">
        <f>(G30*nM_km/Dspeed)/24</f>
        <v>0.16577621158728353</v>
      </c>
      <c r="I30" s="31">
        <f t="shared" si="0"/>
        <v>3.978629078094805</v>
      </c>
      <c r="J30" s="33">
        <f t="shared" si="2"/>
        <v>12.07651663642587</v>
      </c>
      <c r="K30" s="215">
        <v>42624.887499999997</v>
      </c>
      <c r="L30" s="48" t="s">
        <v>55</v>
      </c>
      <c r="M30" s="18"/>
    </row>
    <row r="31" spans="1:14" x14ac:dyDescent="0.2">
      <c r="A31" s="53" t="s">
        <v>56</v>
      </c>
      <c r="B31" s="30">
        <f t="shared" si="1"/>
        <v>23</v>
      </c>
      <c r="C31" s="30">
        <v>0</v>
      </c>
      <c r="D31" s="30">
        <v>2</v>
      </c>
      <c r="E31" s="30">
        <f t="shared" si="3"/>
        <v>38</v>
      </c>
      <c r="F31" s="30">
        <v>0</v>
      </c>
      <c r="G31" s="242">
        <v>35</v>
      </c>
      <c r="H31" s="31">
        <f>(D31*obh_rec_strike + G31*nM_km/Dspeed)/24</f>
        <v>0.1444302513875115</v>
      </c>
      <c r="I31" s="31">
        <f t="shared" si="0"/>
        <v>3.4663260333002759</v>
      </c>
      <c r="J31" s="33">
        <f t="shared" si="2"/>
        <v>12.220946887813382</v>
      </c>
      <c r="K31" s="215">
        <v>42625.016666666699</v>
      </c>
      <c r="L31" s="48" t="s">
        <v>57</v>
      </c>
      <c r="M31" s="18"/>
    </row>
    <row r="32" spans="1:14" x14ac:dyDescent="0.2">
      <c r="A32" s="54" t="s">
        <v>58</v>
      </c>
      <c r="B32" s="30">
        <f t="shared" si="1"/>
        <v>17</v>
      </c>
      <c r="C32" s="30">
        <v>0</v>
      </c>
      <c r="D32" s="30">
        <v>6</v>
      </c>
      <c r="E32" s="30">
        <f t="shared" si="3"/>
        <v>44</v>
      </c>
      <c r="F32" s="30">
        <v>0</v>
      </c>
      <c r="G32" s="242">
        <v>65</v>
      </c>
      <c r="H32" s="31">
        <f>(D32*obh_rec_strike + G32*nM_km/Dspeed)/24</f>
        <v>0.33856149039837247</v>
      </c>
      <c r="I32" s="31">
        <f t="shared" si="0"/>
        <v>8.1254757695609392</v>
      </c>
      <c r="J32" s="33">
        <f t="shared" si="2"/>
        <v>12.559508378211754</v>
      </c>
      <c r="K32" s="215">
        <v>42625.336111111101</v>
      </c>
      <c r="L32" s="45" t="s">
        <v>59</v>
      </c>
      <c r="M32" s="18"/>
    </row>
    <row r="33" spans="1:13" x14ac:dyDescent="0.2">
      <c r="A33" s="41" t="s">
        <v>60</v>
      </c>
      <c r="B33" s="30">
        <f t="shared" si="1"/>
        <v>17</v>
      </c>
      <c r="C33" s="30">
        <v>0</v>
      </c>
      <c r="D33" s="30">
        <v>0</v>
      </c>
      <c r="E33" s="30">
        <f t="shared" si="3"/>
        <v>44</v>
      </c>
      <c r="F33" s="30">
        <v>0</v>
      </c>
      <c r="G33" s="241">
        <v>50</v>
      </c>
      <c r="H33" s="42">
        <f>(G33*nM_km/Dspeed)/24</f>
        <v>0.11841157970520254</v>
      </c>
      <c r="I33" s="31">
        <f t="shared" si="0"/>
        <v>2.8418779129248608</v>
      </c>
      <c r="J33" s="33">
        <f t="shared" si="2"/>
        <v>12.677919957916957</v>
      </c>
      <c r="K33" s="212">
        <f>K32+H33</f>
        <v>42625.454522690809</v>
      </c>
      <c r="M33" s="18"/>
    </row>
    <row r="34" spans="1:13" x14ac:dyDescent="0.2">
      <c r="A34" s="53" t="s">
        <v>61</v>
      </c>
      <c r="B34" s="30">
        <f t="shared" si="1"/>
        <v>12</v>
      </c>
      <c r="C34" s="30">
        <v>0</v>
      </c>
      <c r="D34" s="30">
        <v>5</v>
      </c>
      <c r="E34" s="30">
        <f t="shared" si="3"/>
        <v>49</v>
      </c>
      <c r="F34" s="30">
        <v>0</v>
      </c>
      <c r="G34" s="242">
        <v>70</v>
      </c>
      <c r="H34" s="31">
        <f>(D34*obh_rec_strike + G34*nM_km/Dspeed)/24</f>
        <v>0.31963157557195782</v>
      </c>
      <c r="I34" s="31">
        <f t="shared" si="0"/>
        <v>7.6711578137269871</v>
      </c>
      <c r="J34" s="33">
        <f t="shared" si="2"/>
        <v>12.997551533488915</v>
      </c>
      <c r="K34" s="215">
        <v>42625.728472222203</v>
      </c>
      <c r="L34" s="48" t="s">
        <v>62</v>
      </c>
      <c r="M34" s="55"/>
    </row>
    <row r="35" spans="1:13" x14ac:dyDescent="0.2">
      <c r="A35" s="41" t="s">
        <v>63</v>
      </c>
      <c r="B35" s="30">
        <f t="shared" si="1"/>
        <v>12</v>
      </c>
      <c r="C35" s="30">
        <v>0</v>
      </c>
      <c r="D35" s="30">
        <v>0</v>
      </c>
      <c r="E35" s="30">
        <f t="shared" si="3"/>
        <v>49</v>
      </c>
      <c r="F35" s="30">
        <v>0</v>
      </c>
      <c r="G35" s="241">
        <v>25</v>
      </c>
      <c r="H35" s="42">
        <f>(G35*nM_km/Dspeed)/24</f>
        <v>5.9205789852601269E-2</v>
      </c>
      <c r="I35" s="31">
        <f t="shared" si="0"/>
        <v>1.4209389564624304</v>
      </c>
      <c r="J35" s="33">
        <f t="shared" si="2"/>
        <v>13.056757323341516</v>
      </c>
      <c r="K35" s="215">
        <v>42625.806944444397</v>
      </c>
      <c r="L35" s="48" t="s">
        <v>64</v>
      </c>
      <c r="M35" s="18"/>
    </row>
    <row r="36" spans="1:13" x14ac:dyDescent="0.2">
      <c r="A36" s="54" t="s">
        <v>65</v>
      </c>
      <c r="B36" s="30">
        <f t="shared" si="1"/>
        <v>7</v>
      </c>
      <c r="C36" s="30">
        <v>0</v>
      </c>
      <c r="D36" s="30">
        <v>5</v>
      </c>
      <c r="E36" s="30">
        <f t="shared" si="3"/>
        <v>54</v>
      </c>
      <c r="F36" s="30">
        <v>0</v>
      </c>
      <c r="G36" s="242">
        <v>123</v>
      </c>
      <c r="H36" s="31">
        <f>(D36*obh_rec_strike + G36*nM_km/Dspeed)/24</f>
        <v>0.44514785005947255</v>
      </c>
      <c r="I36" s="31">
        <f t="shared" si="0"/>
        <v>10.683548401427341</v>
      </c>
      <c r="J36" s="33">
        <f t="shared" si="2"/>
        <v>13.501905173400989</v>
      </c>
      <c r="K36" s="215">
        <v>42626.224305555603</v>
      </c>
      <c r="L36" s="45" t="s">
        <v>66</v>
      </c>
      <c r="M36" s="56"/>
    </row>
    <row r="37" spans="1:13" x14ac:dyDescent="0.2">
      <c r="A37" s="53" t="s">
        <v>67</v>
      </c>
      <c r="B37" s="30">
        <f t="shared" si="1"/>
        <v>4</v>
      </c>
      <c r="C37" s="30">
        <v>0</v>
      </c>
      <c r="D37" s="30">
        <v>3</v>
      </c>
      <c r="E37" s="30">
        <f t="shared" si="3"/>
        <v>57</v>
      </c>
      <c r="F37" s="30">
        <v>0</v>
      </c>
      <c r="G37" s="242">
        <v>70</v>
      </c>
      <c r="H37" s="31">
        <f>(D37*obh_rec_strike + G37*nM_km/Dspeed)/24</f>
        <v>0.25808942997808809</v>
      </c>
      <c r="I37" s="31">
        <f t="shared" si="0"/>
        <v>6.1941463194741146</v>
      </c>
      <c r="J37" s="33">
        <f t="shared" si="2"/>
        <v>13.759994603379077</v>
      </c>
      <c r="K37" s="215">
        <v>42626.379166666702</v>
      </c>
      <c r="L37" s="45" t="s">
        <v>2</v>
      </c>
      <c r="M37" s="57"/>
    </row>
    <row r="38" spans="1:13" x14ac:dyDescent="0.2">
      <c r="A38" s="41" t="s">
        <v>68</v>
      </c>
      <c r="B38" s="30">
        <f t="shared" si="1"/>
        <v>4</v>
      </c>
      <c r="C38" s="30">
        <v>0</v>
      </c>
      <c r="D38" s="30">
        <v>0</v>
      </c>
      <c r="E38" s="30">
        <f t="shared" si="3"/>
        <v>57</v>
      </c>
      <c r="F38" s="30">
        <v>0</v>
      </c>
      <c r="G38" s="241">
        <v>300</v>
      </c>
      <c r="H38" s="42">
        <f>(G38*nM_km/Dspeed)/24</f>
        <v>0.7104694782312152</v>
      </c>
      <c r="I38" s="31">
        <f t="shared" si="0"/>
        <v>17.051267477549164</v>
      </c>
      <c r="J38" s="33">
        <f t="shared" si="2"/>
        <v>14.470464081610292</v>
      </c>
      <c r="K38" s="212">
        <f>K37+H38</f>
        <v>42627.089636144934</v>
      </c>
      <c r="M38" s="58"/>
    </row>
    <row r="39" spans="1:13" x14ac:dyDescent="0.2">
      <c r="A39" s="44" t="s">
        <v>69</v>
      </c>
      <c r="B39" s="30">
        <f t="shared" si="1"/>
        <v>8</v>
      </c>
      <c r="C39" s="30">
        <v>4</v>
      </c>
      <c r="D39" s="30">
        <v>0</v>
      </c>
      <c r="E39" s="30">
        <f t="shared" si="3"/>
        <v>53</v>
      </c>
      <c r="F39" s="30">
        <v>0</v>
      </c>
      <c r="G39" s="242">
        <v>58</v>
      </c>
      <c r="H39" s="42">
        <f>(F39*teth_hrs_D1+C39*obh_dep +  G39*nM_km/Dspeed)/24</f>
        <v>0.19291298801359047</v>
      </c>
      <c r="I39" s="31">
        <f t="shared" si="0"/>
        <v>4.6299117123261713</v>
      </c>
      <c r="J39" s="33">
        <f t="shared" si="2"/>
        <v>14.663377069623882</v>
      </c>
      <c r="K39" s="215">
        <v>42627.284722222197</v>
      </c>
      <c r="L39" s="45" t="s">
        <v>70</v>
      </c>
      <c r="M39" s="18"/>
    </row>
    <row r="40" spans="1:13" x14ac:dyDescent="0.2">
      <c r="A40" s="47" t="s">
        <v>71</v>
      </c>
      <c r="B40" s="30">
        <f t="shared" si="1"/>
        <v>11</v>
      </c>
      <c r="C40" s="30">
        <v>3</v>
      </c>
      <c r="D40" s="30">
        <v>0</v>
      </c>
      <c r="E40" s="30">
        <f t="shared" si="3"/>
        <v>50</v>
      </c>
      <c r="F40" s="30">
        <v>0</v>
      </c>
      <c r="G40" s="242">
        <v>38</v>
      </c>
      <c r="H40" s="42">
        <f>(F40*teth_hrs_D1+C40*obh_dep +  G40*nM_km/Dspeed)/24</f>
        <v>0.13165946724262059</v>
      </c>
      <c r="I40" s="31">
        <f t="shared" si="0"/>
        <v>3.1598272138228944</v>
      </c>
      <c r="J40" s="33">
        <f t="shared" si="2"/>
        <v>14.795036536866503</v>
      </c>
      <c r="K40" s="215">
        <v>42627.45</v>
      </c>
      <c r="L40" s="45" t="s">
        <v>72</v>
      </c>
      <c r="M40" s="18"/>
    </row>
    <row r="41" spans="1:13" x14ac:dyDescent="0.2">
      <c r="A41" s="41" t="s">
        <v>73</v>
      </c>
      <c r="B41" s="30">
        <f t="shared" si="1"/>
        <v>11</v>
      </c>
      <c r="C41" s="30">
        <v>0</v>
      </c>
      <c r="D41" s="30">
        <v>0</v>
      </c>
      <c r="E41" s="30">
        <f t="shared" si="3"/>
        <v>50</v>
      </c>
      <c r="F41" s="30">
        <v>0</v>
      </c>
      <c r="G41" s="241">
        <v>120</v>
      </c>
      <c r="H41" s="42">
        <f>(G41*nM_km/Dspeed)/24</f>
        <v>0.28418779129248606</v>
      </c>
      <c r="I41" s="31">
        <f t="shared" si="0"/>
        <v>6.8205069910196654</v>
      </c>
      <c r="J41" s="33">
        <f t="shared" si="2"/>
        <v>15.07922432815899</v>
      </c>
      <c r="K41" s="216">
        <f t="shared" ref="K41:K46" si="4">K40+H41</f>
        <v>42627.734187791291</v>
      </c>
      <c r="M41" s="18"/>
    </row>
    <row r="42" spans="1:13" x14ac:dyDescent="0.2">
      <c r="A42" s="59" t="s">
        <v>74</v>
      </c>
      <c r="B42" s="60">
        <f t="shared" si="1"/>
        <v>14</v>
      </c>
      <c r="C42" s="60">
        <v>3</v>
      </c>
      <c r="D42" s="60">
        <v>0</v>
      </c>
      <c r="E42" s="60">
        <f t="shared" si="3"/>
        <v>47</v>
      </c>
      <c r="F42" s="60">
        <v>0</v>
      </c>
      <c r="G42" s="240">
        <v>36</v>
      </c>
      <c r="H42" s="61">
        <f>(F42*teth_hrs_D1+C42*obh_dep +  G42*nM_km/Dspeed)/24</f>
        <v>0.12692300405441248</v>
      </c>
      <c r="I42" s="68">
        <f t="shared" si="0"/>
        <v>3.0461520973058995</v>
      </c>
      <c r="J42" s="62">
        <f t="shared" si="2"/>
        <v>15.206147332213401</v>
      </c>
      <c r="K42" s="217">
        <f t="shared" si="4"/>
        <v>42627.861110795347</v>
      </c>
      <c r="M42" s="18"/>
    </row>
    <row r="43" spans="1:13" x14ac:dyDescent="0.2">
      <c r="A43" s="47" t="s">
        <v>75</v>
      </c>
      <c r="B43" s="30">
        <f t="shared" si="1"/>
        <v>17</v>
      </c>
      <c r="C43" s="30">
        <v>3</v>
      </c>
      <c r="D43" s="30">
        <v>0</v>
      </c>
      <c r="E43" s="30">
        <f t="shared" si="3"/>
        <v>44</v>
      </c>
      <c r="F43" s="30">
        <v>0</v>
      </c>
      <c r="G43" s="242">
        <v>62</v>
      </c>
      <c r="H43" s="42">
        <f>(F43*teth_hrs_D1+C43*obh_dep +  G43*nM_km/Dspeed)/24</f>
        <v>0.1884970255011178</v>
      </c>
      <c r="I43" s="31">
        <f t="shared" si="0"/>
        <v>4.5239286120268272</v>
      </c>
      <c r="J43" s="33">
        <f t="shared" si="2"/>
        <v>15.394644357714519</v>
      </c>
      <c r="K43" s="218">
        <f t="shared" si="4"/>
        <v>42628.049607820845</v>
      </c>
      <c r="M43" s="18"/>
    </row>
    <row r="44" spans="1:13" x14ac:dyDescent="0.2">
      <c r="A44" s="44" t="s">
        <v>76</v>
      </c>
      <c r="B44" s="30">
        <f t="shared" si="1"/>
        <v>20</v>
      </c>
      <c r="C44" s="30">
        <v>3</v>
      </c>
      <c r="D44" s="30">
        <v>0</v>
      </c>
      <c r="E44" s="30">
        <f t="shared" si="3"/>
        <v>41</v>
      </c>
      <c r="F44" s="30">
        <v>0</v>
      </c>
      <c r="G44" s="242">
        <v>30</v>
      </c>
      <c r="H44" s="42">
        <f>(F44*teth_hrs_D1+C44*obh_dep +  G44*nM_km/Dspeed)/24</f>
        <v>0.11271361448978819</v>
      </c>
      <c r="I44" s="31">
        <f t="shared" ref="I44:I75" si="5">H44*24</f>
        <v>2.7051267477549166</v>
      </c>
      <c r="J44" s="33">
        <f t="shared" si="2"/>
        <v>15.507357972204307</v>
      </c>
      <c r="K44" s="219">
        <f t="shared" si="4"/>
        <v>42628.162321435339</v>
      </c>
      <c r="L44" s="6"/>
      <c r="M44" s="18"/>
    </row>
    <row r="45" spans="1:13" x14ac:dyDescent="0.2">
      <c r="A45" s="63" t="s">
        <v>77</v>
      </c>
      <c r="B45" s="64">
        <f t="shared" ref="B45:B76" si="6">nobs_whoi-E45</f>
        <v>20</v>
      </c>
      <c r="C45" s="64">
        <v>0</v>
      </c>
      <c r="D45" s="64">
        <v>0</v>
      </c>
      <c r="E45" s="64">
        <f t="shared" si="3"/>
        <v>41</v>
      </c>
      <c r="F45" s="64">
        <v>0</v>
      </c>
      <c r="G45" s="250">
        <v>0</v>
      </c>
      <c r="H45" s="65">
        <f>(F45*teth_hrs_D1+C45*obh_dep +  G45*nM_km/Dspeed)/24</f>
        <v>0</v>
      </c>
      <c r="I45" s="169">
        <f t="shared" si="5"/>
        <v>0</v>
      </c>
      <c r="J45" s="66">
        <f t="shared" si="2"/>
        <v>15.507357972204307</v>
      </c>
      <c r="K45" s="220">
        <f t="shared" si="4"/>
        <v>42628.162321435339</v>
      </c>
      <c r="M45" s="18"/>
    </row>
    <row r="46" spans="1:13" x14ac:dyDescent="0.2">
      <c r="A46" s="67" t="s">
        <v>78</v>
      </c>
      <c r="B46" s="60">
        <f t="shared" si="6"/>
        <v>20</v>
      </c>
      <c r="C46" s="60">
        <v>0</v>
      </c>
      <c r="D46" s="60">
        <v>0</v>
      </c>
      <c r="E46" s="60">
        <f t="shared" si="3"/>
        <v>41</v>
      </c>
      <c r="F46" s="60">
        <v>0</v>
      </c>
      <c r="G46" s="240"/>
      <c r="H46" s="68">
        <f>1.5/24</f>
        <v>6.25E-2</v>
      </c>
      <c r="I46" s="68">
        <f t="shared" si="5"/>
        <v>1.5</v>
      </c>
      <c r="J46" s="62">
        <f t="shared" si="2"/>
        <v>15.569857972204307</v>
      </c>
      <c r="K46" s="221">
        <f t="shared" si="4"/>
        <v>42628.224821435339</v>
      </c>
      <c r="M46" s="18"/>
    </row>
    <row r="47" spans="1:13" x14ac:dyDescent="0.2">
      <c r="A47" s="49" t="s">
        <v>79</v>
      </c>
      <c r="B47" s="50">
        <f t="shared" si="6"/>
        <v>20</v>
      </c>
      <c r="C47" s="50">
        <v>0</v>
      </c>
      <c r="D47" s="50">
        <v>0</v>
      </c>
      <c r="E47" s="50">
        <f>E45-C47+D47</f>
        <v>41</v>
      </c>
      <c r="F47" s="69">
        <v>0</v>
      </c>
      <c r="G47" s="249">
        <v>340</v>
      </c>
      <c r="H47" s="51">
        <f>(1 +G47*nM_km/mcs_shoot)/24</f>
        <v>1.7415306775457962</v>
      </c>
      <c r="I47" s="197">
        <f t="shared" si="5"/>
        <v>41.796736261099106</v>
      </c>
      <c r="J47" s="52">
        <f t="shared" si="2"/>
        <v>17.311388649750103</v>
      </c>
      <c r="K47" s="222">
        <v>42628.197916666701</v>
      </c>
      <c r="L47" s="45" t="s">
        <v>80</v>
      </c>
      <c r="M47" s="18"/>
    </row>
    <row r="48" spans="1:13" x14ac:dyDescent="0.2">
      <c r="A48" s="49" t="s">
        <v>81</v>
      </c>
      <c r="B48" s="50">
        <f t="shared" si="6"/>
        <v>20</v>
      </c>
      <c r="C48" s="50">
        <v>0</v>
      </c>
      <c r="D48" s="50">
        <v>0</v>
      </c>
      <c r="E48" s="50">
        <f>E44-C48+D48</f>
        <v>41</v>
      </c>
      <c r="F48" s="69">
        <v>0</v>
      </c>
      <c r="G48" s="249">
        <v>45</v>
      </c>
      <c r="H48" s="51">
        <f>(G48*nM_km/mcs_shoot)/24</f>
        <v>0.22498200143988478</v>
      </c>
      <c r="I48" s="197">
        <f t="shared" si="5"/>
        <v>5.3995680345572348</v>
      </c>
      <c r="J48" s="52">
        <f t="shared" si="2"/>
        <v>17.536370651189987</v>
      </c>
      <c r="K48" s="222">
        <v>42628.482638888898</v>
      </c>
      <c r="L48" s="45" t="s">
        <v>82</v>
      </c>
      <c r="M48" s="18"/>
    </row>
    <row r="49" spans="1:13" x14ac:dyDescent="0.2">
      <c r="A49" s="49" t="s">
        <v>83</v>
      </c>
      <c r="B49" s="50">
        <f t="shared" si="6"/>
        <v>20</v>
      </c>
      <c r="C49" s="50">
        <v>0</v>
      </c>
      <c r="D49" s="50">
        <v>0</v>
      </c>
      <c r="E49" s="50">
        <f>E45-C49+D49</f>
        <v>41</v>
      </c>
      <c r="F49" s="69">
        <v>0</v>
      </c>
      <c r="G49" s="249">
        <v>65</v>
      </c>
      <c r="H49" s="51">
        <f>(G49*nM_km/mcs_shoot)/24</f>
        <v>0.32497400207983357</v>
      </c>
      <c r="I49" s="197">
        <f t="shared" si="5"/>
        <v>7.7993760499160061</v>
      </c>
      <c r="J49" s="52">
        <f t="shared" si="2"/>
        <v>17.861344653269821</v>
      </c>
      <c r="K49" s="223">
        <f>K48+H49</f>
        <v>42628.807612890974</v>
      </c>
      <c r="L49" s="70"/>
      <c r="M49" s="18"/>
    </row>
    <row r="50" spans="1:13" x14ac:dyDescent="0.2">
      <c r="A50" s="49" t="s">
        <v>84</v>
      </c>
      <c r="B50" s="50">
        <f t="shared" si="6"/>
        <v>20</v>
      </c>
      <c r="C50" s="50">
        <v>0</v>
      </c>
      <c r="D50" s="50">
        <v>0</v>
      </c>
      <c r="E50" s="50">
        <f>E45-C50+D50</f>
        <v>41</v>
      </c>
      <c r="F50" s="69">
        <v>0</v>
      </c>
      <c r="G50" s="249">
        <v>110</v>
      </c>
      <c r="H50" s="51">
        <f>(G50*nM_km/mcs_shoot)/24</f>
        <v>0.54995600351971841</v>
      </c>
      <c r="I50" s="197">
        <f t="shared" si="5"/>
        <v>13.198944084473242</v>
      </c>
      <c r="J50" s="52">
        <f t="shared" si="2"/>
        <v>18.411300656789539</v>
      </c>
      <c r="K50" s="222">
        <v>42629.302083333299</v>
      </c>
      <c r="L50" s="45" t="s">
        <v>85</v>
      </c>
      <c r="M50" s="18"/>
    </row>
    <row r="51" spans="1:13" x14ac:dyDescent="0.2">
      <c r="A51" s="49" t="s">
        <v>86</v>
      </c>
      <c r="B51" s="50">
        <f t="shared" si="6"/>
        <v>20</v>
      </c>
      <c r="C51" s="50">
        <v>0</v>
      </c>
      <c r="D51" s="50">
        <v>0</v>
      </c>
      <c r="E51" s="50">
        <f>E45-C51+D51</f>
        <v>41</v>
      </c>
      <c r="F51" s="69">
        <v>0</v>
      </c>
      <c r="G51" s="249">
        <v>60</v>
      </c>
      <c r="H51" s="51">
        <f>(G51*nM_km/mcs_shoot)/24</f>
        <v>0.29997600191984636</v>
      </c>
      <c r="I51" s="197">
        <f t="shared" si="5"/>
        <v>7.199424046076313</v>
      </c>
      <c r="J51" s="52">
        <f>J49+H51</f>
        <v>18.161320655189666</v>
      </c>
      <c r="K51" s="222">
        <v>42629.586805555598</v>
      </c>
      <c r="L51" s="45" t="s">
        <v>87</v>
      </c>
      <c r="M51" s="18"/>
    </row>
    <row r="52" spans="1:13" x14ac:dyDescent="0.2">
      <c r="A52" s="49" t="s">
        <v>88</v>
      </c>
      <c r="B52" s="50">
        <f t="shared" si="6"/>
        <v>20</v>
      </c>
      <c r="C52" s="50">
        <v>0</v>
      </c>
      <c r="D52" s="50">
        <v>0</v>
      </c>
      <c r="E52" s="50">
        <f>E46-C52+D52</f>
        <v>41</v>
      </c>
      <c r="F52" s="69">
        <v>0</v>
      </c>
      <c r="G52" s="249">
        <v>58</v>
      </c>
      <c r="H52" s="51">
        <f>(G52*nM_km/mcs_shoot)/24</f>
        <v>0.28997680185585151</v>
      </c>
      <c r="I52" s="197">
        <f t="shared" si="5"/>
        <v>6.9594432445404362</v>
      </c>
      <c r="J52" s="52">
        <f>J50+H52</f>
        <v>18.701277458645389</v>
      </c>
      <c r="K52" s="223">
        <f>K51+H52</f>
        <v>42629.876782357453</v>
      </c>
      <c r="M52" s="18"/>
    </row>
    <row r="53" spans="1:13" x14ac:dyDescent="0.2">
      <c r="A53" s="41" t="s">
        <v>48</v>
      </c>
      <c r="B53" s="30">
        <f t="shared" si="6"/>
        <v>20</v>
      </c>
      <c r="C53" s="30">
        <v>0</v>
      </c>
      <c r="D53" s="30">
        <v>0</v>
      </c>
      <c r="E53" s="30">
        <f t="shared" ref="E53:E87" si="7">E52-C53+D53</f>
        <v>41</v>
      </c>
      <c r="F53" s="30">
        <v>0</v>
      </c>
      <c r="G53" s="242"/>
      <c r="H53" s="42">
        <f>1/24</f>
        <v>4.1666666666666664E-2</v>
      </c>
      <c r="I53" s="31">
        <f t="shared" si="5"/>
        <v>1</v>
      </c>
      <c r="J53" s="33">
        <f t="shared" ref="J53:J84" si="8">J52+H53</f>
        <v>18.742944125312057</v>
      </c>
      <c r="K53" s="216">
        <f>K52+H53</f>
        <v>42629.918449024117</v>
      </c>
      <c r="L53" s="18"/>
      <c r="M53" s="18"/>
    </row>
    <row r="54" spans="1:13" x14ac:dyDescent="0.2">
      <c r="A54" s="71" t="s">
        <v>89</v>
      </c>
      <c r="B54" s="60">
        <f t="shared" si="6"/>
        <v>16</v>
      </c>
      <c r="C54" s="60">
        <v>0</v>
      </c>
      <c r="D54" s="60">
        <v>4</v>
      </c>
      <c r="E54" s="60">
        <f t="shared" si="7"/>
        <v>45</v>
      </c>
      <c r="F54" s="60">
        <v>0</v>
      </c>
      <c r="G54" s="240">
        <v>44</v>
      </c>
      <c r="H54" s="68">
        <f>(D54*rtimeD1_1_4 + G54*nM_km/Dspeed)/24</f>
        <v>0.39528577599916409</v>
      </c>
      <c r="I54" s="68">
        <f t="shared" si="5"/>
        <v>9.4868586239799377</v>
      </c>
      <c r="J54" s="62">
        <f t="shared" si="8"/>
        <v>19.13822990131122</v>
      </c>
      <c r="K54" s="217">
        <f>K53+H54</f>
        <v>42630.313734800118</v>
      </c>
      <c r="L54" s="18"/>
      <c r="M54" s="18"/>
    </row>
    <row r="55" spans="1:13" x14ac:dyDescent="0.2">
      <c r="A55" s="41" t="s">
        <v>90</v>
      </c>
      <c r="B55" s="30">
        <f t="shared" si="6"/>
        <v>16</v>
      </c>
      <c r="C55" s="30">
        <v>0</v>
      </c>
      <c r="D55" s="30">
        <v>0</v>
      </c>
      <c r="E55" s="30">
        <f t="shared" si="7"/>
        <v>45</v>
      </c>
      <c r="F55" s="30">
        <v>0</v>
      </c>
      <c r="G55" s="241">
        <v>14</v>
      </c>
      <c r="H55" s="42">
        <f>(G55*nM_km/Dspeed)/24</f>
        <v>3.3155242317456708E-2</v>
      </c>
      <c r="I55" s="31">
        <f t="shared" si="5"/>
        <v>0.79572581561896105</v>
      </c>
      <c r="J55" s="33">
        <f t="shared" si="8"/>
        <v>19.171385143628676</v>
      </c>
      <c r="K55" s="224">
        <v>42630.351388888899</v>
      </c>
      <c r="L55" s="45" t="s">
        <v>91</v>
      </c>
      <c r="M55" s="72"/>
    </row>
    <row r="56" spans="1:13" x14ac:dyDescent="0.2">
      <c r="A56" s="54" t="s">
        <v>92</v>
      </c>
      <c r="B56" s="30">
        <f t="shared" si="6"/>
        <v>15</v>
      </c>
      <c r="C56" s="30">
        <v>0</v>
      </c>
      <c r="D56" s="30">
        <v>1</v>
      </c>
      <c r="E56" s="30">
        <f t="shared" si="7"/>
        <v>46</v>
      </c>
      <c r="F56" s="30">
        <v>0</v>
      </c>
      <c r="G56" s="242">
        <v>0</v>
      </c>
      <c r="H56" s="31">
        <f>(D56*rtimeD1_5_7 + G56*nM_km/Dspeed)/24</f>
        <v>7.5163631687242813E-2</v>
      </c>
      <c r="I56" s="31">
        <f t="shared" si="5"/>
        <v>1.8039271604938274</v>
      </c>
      <c r="J56" s="33">
        <f t="shared" si="8"/>
        <v>19.246548775315919</v>
      </c>
      <c r="K56" s="225">
        <v>42630.399305555598</v>
      </c>
      <c r="L56" s="45" t="s">
        <v>93</v>
      </c>
    </row>
    <row r="57" spans="1:13" x14ac:dyDescent="0.2">
      <c r="A57" s="41" t="s">
        <v>94</v>
      </c>
      <c r="B57" s="30">
        <f t="shared" si="6"/>
        <v>15</v>
      </c>
      <c r="C57" s="30">
        <v>0</v>
      </c>
      <c r="D57" s="30">
        <v>0</v>
      </c>
      <c r="E57" s="30">
        <f t="shared" si="7"/>
        <v>46</v>
      </c>
      <c r="F57" s="30">
        <v>0</v>
      </c>
      <c r="G57" s="241">
        <v>12</v>
      </c>
      <c r="H57" s="42">
        <f>(G57*nM_km/Dspeed)/24</f>
        <v>2.8418779129248607E-2</v>
      </c>
      <c r="I57" s="31">
        <f t="shared" si="5"/>
        <v>0.68205069910196658</v>
      </c>
      <c r="J57" s="33">
        <f t="shared" si="8"/>
        <v>19.274967554445169</v>
      </c>
      <c r="K57" s="216">
        <f>K56+H57</f>
        <v>42630.427724334724</v>
      </c>
      <c r="L57" s="72"/>
      <c r="M57" s="72"/>
    </row>
    <row r="58" spans="1:13" x14ac:dyDescent="0.2">
      <c r="A58" s="54" t="s">
        <v>95</v>
      </c>
      <c r="B58" s="30">
        <f t="shared" si="6"/>
        <v>14</v>
      </c>
      <c r="C58" s="30">
        <v>0</v>
      </c>
      <c r="D58" s="30">
        <v>1</v>
      </c>
      <c r="E58" s="30">
        <f t="shared" si="7"/>
        <v>47</v>
      </c>
      <c r="F58" s="30">
        <v>0</v>
      </c>
      <c r="G58" s="242">
        <v>0</v>
      </c>
      <c r="H58" s="31">
        <f>(D58*rtimeD1_5_7 + G58*nM_km/Dspeed)/24</f>
        <v>7.5163631687242813E-2</v>
      </c>
      <c r="I58" s="31">
        <f t="shared" si="5"/>
        <v>1.8039271604938274</v>
      </c>
      <c r="J58" s="33">
        <f t="shared" si="8"/>
        <v>19.350131186132412</v>
      </c>
      <c r="K58" s="225">
        <v>42630.482638888898</v>
      </c>
      <c r="L58" s="45" t="s">
        <v>96</v>
      </c>
      <c r="M58" s="72"/>
    </row>
    <row r="59" spans="1:13" x14ac:dyDescent="0.2">
      <c r="A59" s="41" t="s">
        <v>97</v>
      </c>
      <c r="B59" s="30">
        <f t="shared" si="6"/>
        <v>14</v>
      </c>
      <c r="C59" s="30">
        <v>0</v>
      </c>
      <c r="D59" s="30">
        <v>0</v>
      </c>
      <c r="E59" s="30">
        <f t="shared" si="7"/>
        <v>47</v>
      </c>
      <c r="F59" s="30">
        <v>0</v>
      </c>
      <c r="G59" s="241">
        <v>12</v>
      </c>
      <c r="H59" s="42">
        <f>(G59*nM_km/Dspeed)/24</f>
        <v>2.8418779129248607E-2</v>
      </c>
      <c r="I59" s="31">
        <f t="shared" si="5"/>
        <v>0.68205069910196658</v>
      </c>
      <c r="J59" s="33">
        <f t="shared" si="8"/>
        <v>19.378549965261662</v>
      </c>
      <c r="K59" s="216">
        <f>K58+H59</f>
        <v>42630.511057668024</v>
      </c>
      <c r="L59" s="72"/>
      <c r="M59" s="72"/>
    </row>
    <row r="60" spans="1:13" x14ac:dyDescent="0.2">
      <c r="A60" s="54" t="s">
        <v>98</v>
      </c>
      <c r="B60" s="30">
        <f t="shared" si="6"/>
        <v>13</v>
      </c>
      <c r="C60" s="30">
        <v>0</v>
      </c>
      <c r="D60" s="30">
        <v>1</v>
      </c>
      <c r="E60" s="30">
        <f t="shared" si="7"/>
        <v>48</v>
      </c>
      <c r="F60" s="30">
        <v>0</v>
      </c>
      <c r="G60" s="242">
        <v>0</v>
      </c>
      <c r="H60" s="31">
        <f>(D60*rtimeD1_5_7 + G60*nM_km/Dspeed)/24</f>
        <v>7.5163631687242813E-2</v>
      </c>
      <c r="I60" s="31">
        <f t="shared" si="5"/>
        <v>1.8039271604938274</v>
      </c>
      <c r="J60" s="33">
        <f t="shared" si="8"/>
        <v>19.453713596948905</v>
      </c>
      <c r="K60" s="225">
        <v>42630.555555555598</v>
      </c>
      <c r="L60" s="45" t="s">
        <v>99</v>
      </c>
      <c r="M60" s="72"/>
    </row>
    <row r="61" spans="1:13" x14ac:dyDescent="0.2">
      <c r="A61" s="41" t="s">
        <v>100</v>
      </c>
      <c r="B61" s="30">
        <f t="shared" si="6"/>
        <v>13</v>
      </c>
      <c r="C61" s="30">
        <v>0</v>
      </c>
      <c r="D61" s="30">
        <v>0</v>
      </c>
      <c r="E61" s="30">
        <f t="shared" si="7"/>
        <v>48</v>
      </c>
      <c r="F61" s="30">
        <v>0</v>
      </c>
      <c r="G61" s="241">
        <v>12</v>
      </c>
      <c r="H61" s="42">
        <f>(G61*nM_km/Dspeed)/24</f>
        <v>2.8418779129248607E-2</v>
      </c>
      <c r="I61" s="31">
        <f t="shared" si="5"/>
        <v>0.68205069910196658</v>
      </c>
      <c r="J61" s="33">
        <f t="shared" si="8"/>
        <v>19.482132376078155</v>
      </c>
      <c r="K61" s="216">
        <f>K60+H61</f>
        <v>42630.583974334724</v>
      </c>
      <c r="L61" s="18"/>
      <c r="M61" s="18"/>
    </row>
    <row r="62" spans="1:13" x14ac:dyDescent="0.2">
      <c r="A62" s="53" t="s">
        <v>101</v>
      </c>
      <c r="B62" s="30">
        <f t="shared" si="6"/>
        <v>12</v>
      </c>
      <c r="C62" s="30">
        <v>0</v>
      </c>
      <c r="D62" s="30">
        <v>1</v>
      </c>
      <c r="E62" s="30">
        <f t="shared" si="7"/>
        <v>49</v>
      </c>
      <c r="F62" s="30">
        <v>0</v>
      </c>
      <c r="G62" s="242">
        <v>0</v>
      </c>
      <c r="H62" s="31">
        <f>(D62*rtimeD1_8_10 + G62*nM_km/Dspeed)/24</f>
        <v>3.8312994107744108E-2</v>
      </c>
      <c r="I62" s="31">
        <f t="shared" si="5"/>
        <v>0.9195118585858586</v>
      </c>
      <c r="J62" s="33">
        <f t="shared" si="8"/>
        <v>19.5204453701859</v>
      </c>
      <c r="K62" s="219">
        <f>K61+H62</f>
        <v>42630.622287328835</v>
      </c>
      <c r="M62" s="18"/>
    </row>
    <row r="63" spans="1:13" x14ac:dyDescent="0.2">
      <c r="A63" s="41" t="s">
        <v>102</v>
      </c>
      <c r="B63" s="30">
        <f t="shared" si="6"/>
        <v>12</v>
      </c>
      <c r="C63" s="30">
        <v>0</v>
      </c>
      <c r="D63" s="30">
        <v>0</v>
      </c>
      <c r="E63" s="30">
        <f t="shared" si="7"/>
        <v>49</v>
      </c>
      <c r="F63" s="30">
        <v>0</v>
      </c>
      <c r="G63" s="241">
        <v>12</v>
      </c>
      <c r="H63" s="42">
        <f>(G63*nM_km/Dspeed)/24</f>
        <v>2.8418779129248607E-2</v>
      </c>
      <c r="I63" s="31">
        <f t="shared" si="5"/>
        <v>0.68205069910196658</v>
      </c>
      <c r="J63" s="33">
        <f t="shared" si="8"/>
        <v>19.54886414931515</v>
      </c>
      <c r="K63" s="216">
        <f>K62+H63</f>
        <v>42630.650706107961</v>
      </c>
      <c r="L63" s="72"/>
      <c r="M63" s="18"/>
    </row>
    <row r="64" spans="1:13" x14ac:dyDescent="0.2">
      <c r="A64" s="53" t="s">
        <v>103</v>
      </c>
      <c r="B64" s="30">
        <f t="shared" si="6"/>
        <v>11</v>
      </c>
      <c r="C64" s="30">
        <v>0</v>
      </c>
      <c r="D64" s="30">
        <v>1</v>
      </c>
      <c r="E64" s="30">
        <f t="shared" si="7"/>
        <v>50</v>
      </c>
      <c r="F64" s="30">
        <v>0</v>
      </c>
      <c r="G64" s="242">
        <v>0</v>
      </c>
      <c r="H64" s="31">
        <f>(D64*rtimeD1_8_10 + G64*nM_km/Dspeed)/24</f>
        <v>3.8312994107744108E-2</v>
      </c>
      <c r="I64" s="31">
        <f t="shared" si="5"/>
        <v>0.9195118585858586</v>
      </c>
      <c r="J64" s="33">
        <f t="shared" si="8"/>
        <v>19.587177143422895</v>
      </c>
      <c r="K64" s="226">
        <v>42630.6875</v>
      </c>
      <c r="L64" s="48" t="s">
        <v>104</v>
      </c>
      <c r="M64" s="18"/>
    </row>
    <row r="65" spans="1:22" x14ac:dyDescent="0.2">
      <c r="A65" s="41" t="s">
        <v>105</v>
      </c>
      <c r="B65" s="30">
        <f t="shared" si="6"/>
        <v>11</v>
      </c>
      <c r="C65" s="30">
        <v>0</v>
      </c>
      <c r="D65" s="30">
        <v>0</v>
      </c>
      <c r="E65" s="30">
        <f t="shared" si="7"/>
        <v>50</v>
      </c>
      <c r="F65" s="30">
        <v>0</v>
      </c>
      <c r="G65" s="241">
        <v>11</v>
      </c>
      <c r="H65" s="42">
        <f>(G65*nM_km/Dspeed)/24</f>
        <v>2.605054753514455E-2</v>
      </c>
      <c r="I65" s="31">
        <f t="shared" si="5"/>
        <v>0.62521314084346924</v>
      </c>
      <c r="J65" s="33">
        <f t="shared" si="8"/>
        <v>19.613227690958041</v>
      </c>
      <c r="K65" s="216">
        <f>K64+H65</f>
        <v>42630.713550547538</v>
      </c>
      <c r="L65" s="73"/>
      <c r="M65" s="18"/>
    </row>
    <row r="66" spans="1:22" x14ac:dyDescent="0.2">
      <c r="A66" s="53" t="s">
        <v>106</v>
      </c>
      <c r="B66" s="30">
        <f t="shared" si="6"/>
        <v>10</v>
      </c>
      <c r="C66" s="30">
        <v>0</v>
      </c>
      <c r="D66" s="30">
        <v>1</v>
      </c>
      <c r="E66" s="30">
        <f t="shared" si="7"/>
        <v>51</v>
      </c>
      <c r="F66" s="30">
        <v>0</v>
      </c>
      <c r="G66" s="242">
        <v>0</v>
      </c>
      <c r="H66" s="31">
        <f>(D66*avg_rise_strike + G66*nM_km/Dspeed)/24</f>
        <v>1.6882183908045977E-2</v>
      </c>
      <c r="I66" s="31">
        <f t="shared" si="5"/>
        <v>0.40517241379310343</v>
      </c>
      <c r="J66" s="33">
        <f t="shared" si="8"/>
        <v>19.630109874866086</v>
      </c>
      <c r="K66" s="226">
        <v>42630.736111111102</v>
      </c>
      <c r="L66" s="48" t="s">
        <v>107</v>
      </c>
      <c r="M66" s="18"/>
      <c r="V66" s="74"/>
    </row>
    <row r="67" spans="1:22" x14ac:dyDescent="0.2">
      <c r="A67" s="41" t="s">
        <v>108</v>
      </c>
      <c r="B67" s="30">
        <f t="shared" si="6"/>
        <v>10</v>
      </c>
      <c r="C67" s="30">
        <v>0</v>
      </c>
      <c r="D67" s="30">
        <v>0</v>
      </c>
      <c r="E67" s="30">
        <f t="shared" si="7"/>
        <v>51</v>
      </c>
      <c r="F67" s="30">
        <v>0</v>
      </c>
      <c r="G67" s="241">
        <v>11</v>
      </c>
      <c r="H67" s="42">
        <f>(G67*nM_km/Dspeed)/24</f>
        <v>2.605054753514455E-2</v>
      </c>
      <c r="I67" s="31">
        <f t="shared" si="5"/>
        <v>0.62521314084346924</v>
      </c>
      <c r="J67" s="33">
        <f t="shared" si="8"/>
        <v>19.656160422401232</v>
      </c>
      <c r="K67" s="216">
        <f>K66+H67</f>
        <v>42630.76216165864</v>
      </c>
      <c r="L67" s="18"/>
      <c r="M67" s="18"/>
      <c r="V67" s="75"/>
    </row>
    <row r="68" spans="1:22" x14ac:dyDescent="0.2">
      <c r="A68" s="53" t="s">
        <v>109</v>
      </c>
      <c r="B68" s="30">
        <f t="shared" si="6"/>
        <v>9</v>
      </c>
      <c r="C68" s="30">
        <v>0</v>
      </c>
      <c r="D68" s="30">
        <v>1</v>
      </c>
      <c r="E68" s="30">
        <f t="shared" si="7"/>
        <v>52</v>
      </c>
      <c r="F68" s="30">
        <v>0</v>
      </c>
      <c r="G68" s="242">
        <v>0</v>
      </c>
      <c r="H68" s="31">
        <f>(D68*avg_rise_strike + G68*nM_km/Dspeed)/24</f>
        <v>1.6882183908045977E-2</v>
      </c>
      <c r="I68" s="31">
        <f t="shared" si="5"/>
        <v>0.40517241379310343</v>
      </c>
      <c r="J68" s="33">
        <f t="shared" si="8"/>
        <v>19.673042606309277</v>
      </c>
      <c r="K68" s="226">
        <v>42630.774305555598</v>
      </c>
      <c r="L68" s="48" t="s">
        <v>110</v>
      </c>
      <c r="M68" s="18"/>
    </row>
    <row r="69" spans="1:22" x14ac:dyDescent="0.2">
      <c r="A69" s="41" t="s">
        <v>111</v>
      </c>
      <c r="B69" s="30">
        <f t="shared" si="6"/>
        <v>9</v>
      </c>
      <c r="C69" s="30">
        <v>0</v>
      </c>
      <c r="D69" s="30">
        <v>0</v>
      </c>
      <c r="E69" s="30">
        <f t="shared" si="7"/>
        <v>52</v>
      </c>
      <c r="F69" s="30">
        <v>0</v>
      </c>
      <c r="G69" s="241">
        <v>180</v>
      </c>
      <c r="H69" s="42">
        <f>(G69*nM_km/Dspeed)/24</f>
        <v>0.42628168693872909</v>
      </c>
      <c r="I69" s="31">
        <f t="shared" si="5"/>
        <v>10.230760486529498</v>
      </c>
      <c r="J69" s="33">
        <f t="shared" si="8"/>
        <v>20.099324293248007</v>
      </c>
      <c r="K69" s="216">
        <f>K68+H69</f>
        <v>42631.200587242536</v>
      </c>
      <c r="L69" s="18"/>
      <c r="M69" s="18"/>
    </row>
    <row r="70" spans="1:22" ht="14" customHeight="1" x14ac:dyDescent="0.2">
      <c r="A70" s="53" t="s">
        <v>112</v>
      </c>
      <c r="B70" s="30">
        <f t="shared" si="6"/>
        <v>8</v>
      </c>
      <c r="C70" s="30">
        <v>0</v>
      </c>
      <c r="D70" s="30">
        <v>1</v>
      </c>
      <c r="E70" s="30">
        <f t="shared" si="7"/>
        <v>53</v>
      </c>
      <c r="F70" s="30">
        <v>0</v>
      </c>
      <c r="G70" s="242">
        <v>0</v>
      </c>
      <c r="H70" s="31">
        <f>(D70*rtimeD1_17_19 + G70*nM_km/Dspeed)/24</f>
        <v>8.5409974747474748E-2</v>
      </c>
      <c r="I70" s="31">
        <f t="shared" si="5"/>
        <v>2.049839393939394</v>
      </c>
      <c r="J70" s="33">
        <f t="shared" si="8"/>
        <v>20.184734267995481</v>
      </c>
      <c r="K70" s="227">
        <v>42631.284722222197</v>
      </c>
      <c r="L70" s="45" t="s">
        <v>113</v>
      </c>
      <c r="M70" s="76" t="s">
        <v>114</v>
      </c>
    </row>
    <row r="71" spans="1:22" ht="14" customHeight="1" x14ac:dyDescent="0.2">
      <c r="A71" s="41" t="s">
        <v>115</v>
      </c>
      <c r="B71" s="30">
        <f t="shared" si="6"/>
        <v>8</v>
      </c>
      <c r="C71" s="30">
        <v>0</v>
      </c>
      <c r="D71" s="30">
        <v>0</v>
      </c>
      <c r="E71" s="30">
        <f t="shared" si="7"/>
        <v>53</v>
      </c>
      <c r="F71" s="30">
        <v>0</v>
      </c>
      <c r="G71" s="241">
        <v>15</v>
      </c>
      <c r="H71" s="42">
        <f>(G71*nM_km/Dspeed)/24</f>
        <v>3.5523473911560757E-2</v>
      </c>
      <c r="I71" s="31">
        <f t="shared" si="5"/>
        <v>0.85256337387745817</v>
      </c>
      <c r="J71" s="33">
        <f t="shared" si="8"/>
        <v>20.220257741907041</v>
      </c>
      <c r="K71" s="216">
        <f>K70+H71</f>
        <v>42631.320245696108</v>
      </c>
      <c r="L71" s="18"/>
      <c r="M71" s="18"/>
    </row>
    <row r="72" spans="1:22" s="1" customFormat="1" ht="14" customHeight="1" x14ac:dyDescent="0.2">
      <c r="A72" s="53" t="s">
        <v>116</v>
      </c>
      <c r="B72" s="30">
        <f t="shared" si="6"/>
        <v>7</v>
      </c>
      <c r="C72" s="30">
        <v>0</v>
      </c>
      <c r="D72" s="30">
        <v>1</v>
      </c>
      <c r="E72" s="30">
        <f t="shared" si="7"/>
        <v>54</v>
      </c>
      <c r="F72" s="30">
        <v>0</v>
      </c>
      <c r="G72" s="242">
        <v>0</v>
      </c>
      <c r="H72" s="31">
        <f>(D72*rtimeD1_17_19 + G72*nM_km/Dspeed)/24</f>
        <v>8.5409974747474748E-2</v>
      </c>
      <c r="I72" s="31">
        <f t="shared" si="5"/>
        <v>2.049839393939394</v>
      </c>
      <c r="J72" s="33">
        <f t="shared" si="8"/>
        <v>20.305667716654515</v>
      </c>
      <c r="K72" s="226">
        <v>42631.395833333299</v>
      </c>
      <c r="L72" s="45" t="s">
        <v>117</v>
      </c>
      <c r="M72" s="18"/>
    </row>
    <row r="73" spans="1:22" ht="14" customHeight="1" x14ac:dyDescent="0.2">
      <c r="A73" s="41" t="s">
        <v>118</v>
      </c>
      <c r="B73" s="30">
        <f t="shared" si="6"/>
        <v>7</v>
      </c>
      <c r="C73" s="30">
        <v>0</v>
      </c>
      <c r="D73" s="30">
        <v>0</v>
      </c>
      <c r="E73" s="30">
        <f t="shared" si="7"/>
        <v>54</v>
      </c>
      <c r="F73" s="30">
        <v>0</v>
      </c>
      <c r="G73" s="241">
        <v>15</v>
      </c>
      <c r="H73" s="42">
        <f>(G73*nM_km/Dspeed)/24</f>
        <v>3.5523473911560757E-2</v>
      </c>
      <c r="I73" s="31">
        <f t="shared" si="5"/>
        <v>0.85256337387745817</v>
      </c>
      <c r="J73" s="33">
        <f t="shared" si="8"/>
        <v>20.341191190566075</v>
      </c>
      <c r="K73" s="216">
        <f>K72+H73</f>
        <v>42631.43135680721</v>
      </c>
      <c r="L73" s="18"/>
      <c r="M73" s="18"/>
      <c r="Q73" s="18"/>
      <c r="R73" s="18"/>
      <c r="S73" s="18"/>
    </row>
    <row r="74" spans="1:22" ht="14" customHeight="1" x14ac:dyDescent="0.2">
      <c r="A74" s="53" t="s">
        <v>119</v>
      </c>
      <c r="B74" s="30">
        <f t="shared" si="6"/>
        <v>6</v>
      </c>
      <c r="C74" s="30">
        <v>0</v>
      </c>
      <c r="D74" s="30">
        <v>1</v>
      </c>
      <c r="E74" s="30">
        <f t="shared" si="7"/>
        <v>55</v>
      </c>
      <c r="F74" s="30">
        <v>0</v>
      </c>
      <c r="G74" s="242">
        <v>0</v>
      </c>
      <c r="H74" s="31">
        <f>(D74*rtimeD1_17_19 + G74*nM_km/Dspeed)/24</f>
        <v>8.5409974747474748E-2</v>
      </c>
      <c r="I74" s="31">
        <f t="shared" si="5"/>
        <v>2.049839393939394</v>
      </c>
      <c r="J74" s="33">
        <f t="shared" si="8"/>
        <v>20.426601165313549</v>
      </c>
      <c r="K74" s="226">
        <v>42631.500694444403</v>
      </c>
      <c r="L74" s="45" t="s">
        <v>120</v>
      </c>
      <c r="M74" s="18"/>
      <c r="Q74" s="18"/>
      <c r="R74" s="18"/>
      <c r="S74" s="18"/>
    </row>
    <row r="75" spans="1:22" ht="14" customHeight="1" x14ac:dyDescent="0.2">
      <c r="A75" s="41" t="s">
        <v>121</v>
      </c>
      <c r="B75" s="30">
        <f t="shared" si="6"/>
        <v>6</v>
      </c>
      <c r="C75" s="30">
        <v>0</v>
      </c>
      <c r="D75" s="30">
        <v>0</v>
      </c>
      <c r="E75" s="30">
        <f t="shared" si="7"/>
        <v>55</v>
      </c>
      <c r="F75" s="30">
        <v>0</v>
      </c>
      <c r="G75" s="241">
        <v>14</v>
      </c>
      <c r="H75" s="42">
        <f>(G75*nM_km/Dspeed)/24</f>
        <v>3.3155242317456708E-2</v>
      </c>
      <c r="I75" s="31">
        <f t="shared" si="5"/>
        <v>0.79572581561896105</v>
      </c>
      <c r="J75" s="33">
        <f t="shared" si="8"/>
        <v>20.459756407631005</v>
      </c>
      <c r="K75" s="216">
        <f>K74+H75</f>
        <v>42631.533849686719</v>
      </c>
      <c r="L75" s="18"/>
      <c r="M75" s="18"/>
      <c r="Q75" s="18"/>
      <c r="R75" s="18"/>
      <c r="S75" s="18"/>
    </row>
    <row r="76" spans="1:22" ht="14" customHeight="1" x14ac:dyDescent="0.2">
      <c r="A76" s="54" t="s">
        <v>122</v>
      </c>
      <c r="B76" s="30">
        <f t="shared" si="6"/>
        <v>5</v>
      </c>
      <c r="C76" s="30">
        <v>0</v>
      </c>
      <c r="D76" s="30">
        <v>1</v>
      </c>
      <c r="E76" s="30">
        <f t="shared" si="7"/>
        <v>56</v>
      </c>
      <c r="F76" s="30">
        <v>0</v>
      </c>
      <c r="G76" s="242">
        <v>0</v>
      </c>
      <c r="H76" s="31">
        <f>(D76*rtimeD1_16 + G76*nM_km/Dspeed)/24</f>
        <v>9.8429012345679009E-2</v>
      </c>
      <c r="I76" s="31">
        <f t="shared" ref="I76:I107" si="9">H76*24</f>
        <v>2.3622962962962961</v>
      </c>
      <c r="J76" s="33">
        <f t="shared" si="8"/>
        <v>20.558185419976684</v>
      </c>
      <c r="K76" s="218">
        <v>42631.600694444503</v>
      </c>
      <c r="L76" s="45" t="s">
        <v>123</v>
      </c>
      <c r="M76" s="18"/>
      <c r="Q76" s="18"/>
      <c r="R76" s="18"/>
      <c r="S76" s="18"/>
    </row>
    <row r="77" spans="1:22" ht="14" customHeight="1" x14ac:dyDescent="0.2">
      <c r="A77" s="41" t="s">
        <v>124</v>
      </c>
      <c r="B77" s="30">
        <f t="shared" ref="B77:B108" si="10">nobs_whoi-E77</f>
        <v>5</v>
      </c>
      <c r="C77" s="30">
        <v>0</v>
      </c>
      <c r="D77" s="30">
        <v>0</v>
      </c>
      <c r="E77" s="30">
        <f t="shared" si="7"/>
        <v>56</v>
      </c>
      <c r="F77" s="30">
        <v>0</v>
      </c>
      <c r="G77" s="241">
        <v>14</v>
      </c>
      <c r="H77" s="42">
        <f>(G77*nM_km/Dspeed)/24</f>
        <v>3.3155242317456708E-2</v>
      </c>
      <c r="I77" s="31">
        <f t="shared" si="9"/>
        <v>0.79572581561896105</v>
      </c>
      <c r="J77" s="33">
        <f t="shared" si="8"/>
        <v>20.59134066229414</v>
      </c>
      <c r="K77" s="216">
        <f>K76+H77</f>
        <v>42631.633849686819</v>
      </c>
      <c r="L77" s="18"/>
      <c r="M77" s="18"/>
      <c r="Q77" s="18"/>
      <c r="R77" s="18"/>
      <c r="S77" s="18"/>
    </row>
    <row r="78" spans="1:22" ht="14" customHeight="1" x14ac:dyDescent="0.2">
      <c r="A78" s="54" t="s">
        <v>125</v>
      </c>
      <c r="B78" s="30">
        <f t="shared" si="10"/>
        <v>4</v>
      </c>
      <c r="C78" s="30">
        <v>0</v>
      </c>
      <c r="D78" s="30">
        <v>1</v>
      </c>
      <c r="E78" s="30">
        <f t="shared" si="7"/>
        <v>57</v>
      </c>
      <c r="F78" s="30">
        <v>0</v>
      </c>
      <c r="G78" s="242">
        <v>0</v>
      </c>
      <c r="H78" s="31">
        <f>(D78*rtimeD1_15 + G78*nM_km/Dspeed)/24</f>
        <v>9.4799382716049374E-2</v>
      </c>
      <c r="I78" s="31">
        <f t="shared" si="9"/>
        <v>2.275185185185185</v>
      </c>
      <c r="J78" s="33">
        <f t="shared" si="8"/>
        <v>20.686140045010191</v>
      </c>
      <c r="K78" s="218">
        <v>42631.716666666704</v>
      </c>
      <c r="L78" s="58">
        <v>42631.716666666704</v>
      </c>
      <c r="M78" s="18"/>
      <c r="Q78" s="18"/>
      <c r="R78" s="18"/>
      <c r="S78" s="18"/>
    </row>
    <row r="79" spans="1:22" ht="14" customHeight="1" x14ac:dyDescent="0.2">
      <c r="A79" s="41" t="s">
        <v>126</v>
      </c>
      <c r="B79" s="30">
        <f t="shared" si="10"/>
        <v>4</v>
      </c>
      <c r="C79" s="30">
        <v>0</v>
      </c>
      <c r="D79" s="30">
        <v>0</v>
      </c>
      <c r="E79" s="30">
        <f t="shared" si="7"/>
        <v>57</v>
      </c>
      <c r="F79" s="30">
        <v>0</v>
      </c>
      <c r="G79" s="241">
        <v>14</v>
      </c>
      <c r="H79" s="42">
        <f>(G79*nM_km/Dspeed)/24</f>
        <v>3.3155242317456708E-2</v>
      </c>
      <c r="I79" s="31">
        <f t="shared" si="9"/>
        <v>0.79572581561896105</v>
      </c>
      <c r="J79" s="33">
        <f t="shared" si="8"/>
        <v>20.719295287327647</v>
      </c>
      <c r="K79" s="216">
        <f>K78+H79</f>
        <v>42631.749821909019</v>
      </c>
      <c r="L79" s="18"/>
      <c r="M79" s="18"/>
      <c r="Q79" s="18"/>
      <c r="R79" s="18"/>
      <c r="S79" s="18"/>
    </row>
    <row r="80" spans="1:22" ht="14" customHeight="1" x14ac:dyDescent="0.2">
      <c r="A80" s="54" t="s">
        <v>127</v>
      </c>
      <c r="B80" s="30">
        <f t="shared" si="10"/>
        <v>3</v>
      </c>
      <c r="C80" s="30">
        <v>0</v>
      </c>
      <c r="D80" s="30">
        <v>1</v>
      </c>
      <c r="E80" s="30">
        <f t="shared" si="7"/>
        <v>58</v>
      </c>
      <c r="F80" s="30">
        <v>0</v>
      </c>
      <c r="G80" s="242">
        <v>0</v>
      </c>
      <c r="H80" s="31">
        <f>(D80*rtimeD1_14 + G80*nM_km/Dspeed)/24</f>
        <v>7.1725308641975308E-2</v>
      </c>
      <c r="I80" s="31">
        <f t="shared" si="9"/>
        <v>1.7214074074074075</v>
      </c>
      <c r="J80" s="33">
        <f t="shared" si="8"/>
        <v>20.791020595969623</v>
      </c>
      <c r="K80" s="218">
        <v>42631.8</v>
      </c>
      <c r="L80" s="58">
        <v>42631.8</v>
      </c>
      <c r="M80" s="18"/>
      <c r="Q80" s="18"/>
      <c r="R80" s="18"/>
      <c r="S80" s="18"/>
    </row>
    <row r="81" spans="1:19" ht="14" customHeight="1" x14ac:dyDescent="0.2">
      <c r="A81" s="41" t="s">
        <v>128</v>
      </c>
      <c r="B81" s="30">
        <f t="shared" si="10"/>
        <v>3</v>
      </c>
      <c r="C81" s="30">
        <v>0</v>
      </c>
      <c r="D81" s="30">
        <v>0</v>
      </c>
      <c r="E81" s="30">
        <f t="shared" si="7"/>
        <v>58</v>
      </c>
      <c r="F81" s="30">
        <v>0</v>
      </c>
      <c r="G81" s="241">
        <v>12</v>
      </c>
      <c r="H81" s="42">
        <f>(G81*nM_km/Dspeed)/24</f>
        <v>2.8418779129248607E-2</v>
      </c>
      <c r="I81" s="31">
        <f t="shared" si="9"/>
        <v>0.68205069910196658</v>
      </c>
      <c r="J81" s="33">
        <f t="shared" si="8"/>
        <v>20.819439375098874</v>
      </c>
      <c r="K81" s="216">
        <f>K80+H81</f>
        <v>42631.828418779129</v>
      </c>
      <c r="L81" s="18"/>
      <c r="M81" s="18"/>
      <c r="Q81" s="18"/>
      <c r="R81" s="18"/>
      <c r="S81" s="18"/>
    </row>
    <row r="82" spans="1:19" ht="14" customHeight="1" x14ac:dyDescent="0.2">
      <c r="A82" s="53" t="s">
        <v>129</v>
      </c>
      <c r="B82" s="30">
        <f t="shared" si="10"/>
        <v>2</v>
      </c>
      <c r="C82" s="30">
        <v>0</v>
      </c>
      <c r="D82" s="30">
        <v>1</v>
      </c>
      <c r="E82" s="30">
        <f t="shared" si="7"/>
        <v>59</v>
      </c>
      <c r="F82" s="30">
        <v>0</v>
      </c>
      <c r="G82" s="242">
        <v>0</v>
      </c>
      <c r="H82" s="31">
        <f>(D82*rtimeD1_13 + G82*nM_km/Dspeed)/24</f>
        <v>4.2152651515151518E-2</v>
      </c>
      <c r="I82" s="31">
        <f t="shared" si="9"/>
        <v>1.0116636363636364</v>
      </c>
      <c r="J82" s="33">
        <f t="shared" si="8"/>
        <v>20.861592026614026</v>
      </c>
      <c r="K82" s="226">
        <v>42631.8569444444</v>
      </c>
      <c r="L82" s="58">
        <v>42631.8569444444</v>
      </c>
      <c r="M82" s="18"/>
      <c r="Q82" s="18"/>
      <c r="R82" s="18"/>
      <c r="S82" s="18"/>
    </row>
    <row r="83" spans="1:19" ht="14" customHeight="1" x14ac:dyDescent="0.2">
      <c r="A83" s="41" t="s">
        <v>130</v>
      </c>
      <c r="B83" s="30">
        <f t="shared" si="10"/>
        <v>2</v>
      </c>
      <c r="C83" s="30">
        <v>0</v>
      </c>
      <c r="D83" s="30">
        <v>0</v>
      </c>
      <c r="E83" s="30">
        <f t="shared" si="7"/>
        <v>59</v>
      </c>
      <c r="F83" s="30">
        <v>0</v>
      </c>
      <c r="G83" s="241">
        <v>12</v>
      </c>
      <c r="H83" s="42">
        <f>(G83*nM_km/Dspeed)/24</f>
        <v>2.8418779129248607E-2</v>
      </c>
      <c r="I83" s="31">
        <f t="shared" si="9"/>
        <v>0.68205069910196658</v>
      </c>
      <c r="J83" s="33">
        <f t="shared" si="8"/>
        <v>20.890010805743277</v>
      </c>
      <c r="K83" s="216">
        <f>K82+H83</f>
        <v>42631.885363223526</v>
      </c>
      <c r="L83" s="18"/>
      <c r="M83" s="18"/>
      <c r="Q83" s="18"/>
      <c r="R83" s="18"/>
      <c r="S83" s="18"/>
    </row>
    <row r="84" spans="1:19" ht="14" customHeight="1" x14ac:dyDescent="0.2">
      <c r="A84" s="53" t="s">
        <v>131</v>
      </c>
      <c r="B84" s="30">
        <f t="shared" si="10"/>
        <v>1</v>
      </c>
      <c r="C84" s="30">
        <v>0</v>
      </c>
      <c r="D84" s="30">
        <v>1</v>
      </c>
      <c r="E84" s="30">
        <f t="shared" si="7"/>
        <v>60</v>
      </c>
      <c r="F84" s="30">
        <v>0</v>
      </c>
      <c r="G84" s="242">
        <v>0</v>
      </c>
      <c r="H84" s="31">
        <f>(D84*rtimeD1_12 + G84*nM_km/Dspeed)/24</f>
        <v>2.8591338383838382E-2</v>
      </c>
      <c r="I84" s="31">
        <f t="shared" si="9"/>
        <v>0.68619212121212114</v>
      </c>
      <c r="J84" s="33">
        <f t="shared" si="8"/>
        <v>20.918602144127114</v>
      </c>
      <c r="K84" s="226">
        <v>42631.907638888901</v>
      </c>
      <c r="L84" s="58">
        <v>42631.907638888901</v>
      </c>
      <c r="M84" s="18"/>
      <c r="Q84" s="18"/>
      <c r="R84" s="18"/>
      <c r="S84" s="18"/>
    </row>
    <row r="85" spans="1:19" ht="14" customHeight="1" x14ac:dyDescent="0.2">
      <c r="A85" s="41" t="s">
        <v>132</v>
      </c>
      <c r="B85" s="30">
        <f t="shared" si="10"/>
        <v>1</v>
      </c>
      <c r="C85" s="30">
        <v>0</v>
      </c>
      <c r="D85" s="30">
        <v>0</v>
      </c>
      <c r="E85" s="30">
        <f t="shared" si="7"/>
        <v>60</v>
      </c>
      <c r="F85" s="30">
        <v>0</v>
      </c>
      <c r="G85" s="241">
        <v>12</v>
      </c>
      <c r="H85" s="42">
        <f>(G85*nM_km/Dspeed)/24</f>
        <v>2.8418779129248607E-2</v>
      </c>
      <c r="I85" s="31">
        <f t="shared" si="9"/>
        <v>0.68205069910196658</v>
      </c>
      <c r="J85" s="33">
        <f t="shared" ref="J85:J117" si="11">J84+H85</f>
        <v>20.947020923256364</v>
      </c>
      <c r="K85" s="216">
        <f>K84+H85</f>
        <v>42631.936057668026</v>
      </c>
      <c r="M85" s="18"/>
      <c r="Q85" s="18"/>
      <c r="R85" s="18"/>
      <c r="S85" s="18"/>
    </row>
    <row r="86" spans="1:19" ht="14" customHeight="1" x14ac:dyDescent="0.2">
      <c r="A86" s="77" t="s">
        <v>133</v>
      </c>
      <c r="B86" s="78">
        <f t="shared" si="10"/>
        <v>0</v>
      </c>
      <c r="C86" s="78">
        <v>0</v>
      </c>
      <c r="D86" s="78">
        <v>1</v>
      </c>
      <c r="E86" s="78">
        <f t="shared" si="7"/>
        <v>61</v>
      </c>
      <c r="F86" s="78">
        <v>0</v>
      </c>
      <c r="G86" s="243">
        <v>0</v>
      </c>
      <c r="H86" s="79">
        <f>(D86*rtimeD1_11 + G86*nM_km/Dspeed)/24</f>
        <v>2.7334316919191918E-2</v>
      </c>
      <c r="I86" s="79">
        <f t="shared" si="9"/>
        <v>0.65602360606060606</v>
      </c>
      <c r="J86" s="80">
        <f t="shared" si="11"/>
        <v>20.974355240175555</v>
      </c>
      <c r="K86" s="226">
        <v>42631.956944444399</v>
      </c>
      <c r="L86" s="58">
        <v>42631.956944444399</v>
      </c>
      <c r="M86" s="18"/>
      <c r="Q86" s="18"/>
      <c r="R86" s="18"/>
      <c r="S86" s="18"/>
    </row>
    <row r="87" spans="1:19" ht="14" customHeight="1" x14ac:dyDescent="0.2">
      <c r="A87" s="81" t="s">
        <v>134</v>
      </c>
      <c r="B87" s="82">
        <f t="shared" si="10"/>
        <v>0</v>
      </c>
      <c r="C87" s="82">
        <v>0</v>
      </c>
      <c r="D87" s="82"/>
      <c r="E87" s="83">
        <f t="shared" si="7"/>
        <v>61</v>
      </c>
      <c r="F87" s="82"/>
      <c r="G87" s="244">
        <v>675</v>
      </c>
      <c r="H87" s="84">
        <f>(G87*nM_km/transit)/24</f>
        <v>1.5496209282849207</v>
      </c>
      <c r="I87" s="198">
        <f t="shared" si="9"/>
        <v>37.190902278838095</v>
      </c>
      <c r="J87" s="85">
        <f t="shared" si="11"/>
        <v>22.523976168460475</v>
      </c>
      <c r="K87" s="226">
        <v>42633.5</v>
      </c>
      <c r="L87" s="72" t="s">
        <v>135</v>
      </c>
      <c r="M87" s="18"/>
      <c r="Q87" s="18"/>
      <c r="R87" s="18"/>
      <c r="S87" s="18"/>
    </row>
    <row r="88" spans="1:19" ht="14" customHeight="1" x14ac:dyDescent="0.2">
      <c r="A88" s="47" t="s">
        <v>136</v>
      </c>
      <c r="B88" s="86">
        <f t="shared" si="10"/>
        <v>0</v>
      </c>
      <c r="C88" s="86">
        <v>0</v>
      </c>
      <c r="D88" s="86"/>
      <c r="E88" s="87">
        <f>E118-C88+D88</f>
        <v>61</v>
      </c>
      <c r="F88" s="86"/>
      <c r="G88" s="245">
        <v>10</v>
      </c>
      <c r="H88" s="88">
        <v>0.25</v>
      </c>
      <c r="I88" s="199">
        <f t="shared" si="9"/>
        <v>6</v>
      </c>
      <c r="J88" s="89">
        <f t="shared" si="11"/>
        <v>22.773976168460475</v>
      </c>
      <c r="K88" s="226">
        <v>42633.666666666701</v>
      </c>
      <c r="L88" s="18"/>
      <c r="M88" s="18"/>
      <c r="Q88" s="18"/>
      <c r="R88" s="18"/>
      <c r="S88" s="18"/>
    </row>
    <row r="89" spans="1:19" ht="14" customHeight="1" x14ac:dyDescent="0.2">
      <c r="A89" s="90" t="s">
        <v>137</v>
      </c>
      <c r="B89" s="91">
        <f t="shared" si="10"/>
        <v>0</v>
      </c>
      <c r="C89" s="91">
        <v>0</v>
      </c>
      <c r="D89" s="91"/>
      <c r="E89" s="87">
        <f t="shared" ref="E89:E97" si="12">E88-C89+D89</f>
        <v>61</v>
      </c>
      <c r="F89" s="91"/>
      <c r="G89" s="246">
        <v>675</v>
      </c>
      <c r="H89" s="92">
        <f>(G89*nM_km/transit)/24</f>
        <v>1.5496209282849207</v>
      </c>
      <c r="I89" s="200">
        <f t="shared" si="9"/>
        <v>37.190902278838095</v>
      </c>
      <c r="J89" s="93">
        <f t="shared" si="11"/>
        <v>24.323597096745395</v>
      </c>
      <c r="K89" s="226">
        <v>42635.020833333299</v>
      </c>
      <c r="M89" s="18"/>
      <c r="Q89" s="18"/>
      <c r="R89" s="18"/>
      <c r="S89" s="18"/>
    </row>
    <row r="90" spans="1:19" ht="14" customHeight="1" x14ac:dyDescent="0.2">
      <c r="A90" s="41" t="s">
        <v>138</v>
      </c>
      <c r="B90" s="30">
        <f t="shared" si="10"/>
        <v>0</v>
      </c>
      <c r="C90" s="30">
        <v>0</v>
      </c>
      <c r="D90" s="30"/>
      <c r="E90" s="60">
        <f t="shared" si="12"/>
        <v>61</v>
      </c>
      <c r="F90" s="30"/>
      <c r="G90" s="241">
        <v>0</v>
      </c>
      <c r="H90" s="42">
        <v>1.5</v>
      </c>
      <c r="I90" s="31">
        <f t="shared" si="9"/>
        <v>36</v>
      </c>
      <c r="J90" s="33">
        <f t="shared" si="11"/>
        <v>25.823597096745395</v>
      </c>
      <c r="K90" s="228">
        <v>42635.673611111102</v>
      </c>
      <c r="L90" s="18"/>
      <c r="M90" s="18"/>
      <c r="Q90" s="18"/>
      <c r="R90" s="18"/>
      <c r="S90" s="18"/>
    </row>
    <row r="91" spans="1:19" ht="14" customHeight="1" x14ac:dyDescent="0.2">
      <c r="A91" s="22" t="s">
        <v>78</v>
      </c>
      <c r="B91" s="30">
        <f t="shared" si="10"/>
        <v>0</v>
      </c>
      <c r="C91" s="30">
        <v>0</v>
      </c>
      <c r="D91" s="30"/>
      <c r="E91" s="30">
        <f t="shared" si="12"/>
        <v>61</v>
      </c>
      <c r="F91" s="30"/>
      <c r="G91" s="242">
        <v>0</v>
      </c>
      <c r="H91" s="31">
        <f>2/24</f>
        <v>8.3333333333333329E-2</v>
      </c>
      <c r="I91" s="31">
        <f t="shared" si="9"/>
        <v>2</v>
      </c>
      <c r="J91" s="33">
        <f t="shared" si="11"/>
        <v>25.906930430078727</v>
      </c>
      <c r="K91" s="228">
        <v>42635.673611111102</v>
      </c>
      <c r="L91" s="94" t="s">
        <v>139</v>
      </c>
      <c r="M91" s="18"/>
      <c r="Q91" s="18"/>
      <c r="R91" s="18"/>
      <c r="S91" s="18"/>
    </row>
    <row r="92" spans="1:19" ht="14" customHeight="1" x14ac:dyDescent="0.2">
      <c r="A92" s="95" t="s">
        <v>140</v>
      </c>
      <c r="B92" s="96">
        <f t="shared" si="10"/>
        <v>0</v>
      </c>
      <c r="C92" s="97">
        <v>0</v>
      </c>
      <c r="D92" s="97"/>
      <c r="E92" s="96">
        <f t="shared" si="12"/>
        <v>61</v>
      </c>
      <c r="F92" s="98">
        <v>0</v>
      </c>
      <c r="G92" s="247">
        <v>70</v>
      </c>
      <c r="H92" s="99">
        <f t="shared" ref="H92:H114" si="13">(F92+G92*nM_km/mcs_shoot)/24</f>
        <v>0.34997200223982078</v>
      </c>
      <c r="I92" s="201">
        <f t="shared" si="9"/>
        <v>8.3993280537556991</v>
      </c>
      <c r="J92" s="100">
        <f t="shared" si="11"/>
        <v>26.256902432318547</v>
      </c>
      <c r="K92" s="212">
        <f>K91+H92</f>
        <v>42636.02358311334</v>
      </c>
      <c r="L92" s="18"/>
      <c r="M92" s="18"/>
      <c r="Q92" s="18"/>
      <c r="R92" s="18"/>
      <c r="S92" s="18"/>
    </row>
    <row r="93" spans="1:19" ht="14" customHeight="1" x14ac:dyDescent="0.2">
      <c r="A93" s="95" t="s">
        <v>141</v>
      </c>
      <c r="B93" s="96">
        <f t="shared" si="10"/>
        <v>0</v>
      </c>
      <c r="C93" s="97">
        <v>0</v>
      </c>
      <c r="D93" s="97"/>
      <c r="E93" s="96">
        <f t="shared" si="12"/>
        <v>61</v>
      </c>
      <c r="F93" s="98">
        <v>0</v>
      </c>
      <c r="G93" s="247">
        <v>18</v>
      </c>
      <c r="H93" s="99">
        <f t="shared" si="13"/>
        <v>8.9992800575953921E-2</v>
      </c>
      <c r="I93" s="201">
        <f t="shared" si="9"/>
        <v>2.159827213822894</v>
      </c>
      <c r="J93" s="100">
        <f t="shared" si="11"/>
        <v>26.3468952328945</v>
      </c>
      <c r="K93" s="212">
        <f>K92+H93</f>
        <v>42636.113575913914</v>
      </c>
      <c r="L93" s="45"/>
      <c r="M93" s="18"/>
      <c r="Q93" s="18"/>
      <c r="R93" s="18"/>
      <c r="S93" s="18"/>
    </row>
    <row r="94" spans="1:19" ht="14" customHeight="1" x14ac:dyDescent="0.2">
      <c r="A94" s="95" t="s">
        <v>142</v>
      </c>
      <c r="B94" s="96">
        <f t="shared" si="10"/>
        <v>0</v>
      </c>
      <c r="C94" s="97">
        <v>0</v>
      </c>
      <c r="D94" s="97"/>
      <c r="E94" s="96">
        <f t="shared" si="12"/>
        <v>61</v>
      </c>
      <c r="F94" s="98">
        <v>0</v>
      </c>
      <c r="G94" s="247">
        <v>70</v>
      </c>
      <c r="H94" s="99">
        <f t="shared" si="13"/>
        <v>0.34997200223982078</v>
      </c>
      <c r="I94" s="201">
        <f t="shared" si="9"/>
        <v>8.3993280537556991</v>
      </c>
      <c r="J94" s="100">
        <f t="shared" si="11"/>
        <v>26.69686723513432</v>
      </c>
      <c r="K94" s="215">
        <v>42636.46875</v>
      </c>
      <c r="L94" s="45" t="s">
        <v>143</v>
      </c>
      <c r="M94" s="18"/>
      <c r="Q94" s="18"/>
      <c r="R94" s="18"/>
      <c r="S94" s="18"/>
    </row>
    <row r="95" spans="1:19" ht="14" customHeight="1" x14ac:dyDescent="0.2">
      <c r="A95" s="95" t="s">
        <v>144</v>
      </c>
      <c r="B95" s="96">
        <f t="shared" si="10"/>
        <v>0</v>
      </c>
      <c r="C95" s="97">
        <v>0</v>
      </c>
      <c r="D95" s="97"/>
      <c r="E95" s="96">
        <f t="shared" si="12"/>
        <v>61</v>
      </c>
      <c r="F95" s="98">
        <v>0</v>
      </c>
      <c r="G95" s="247">
        <v>18</v>
      </c>
      <c r="H95" s="99">
        <f t="shared" si="13"/>
        <v>8.9992800575953921E-2</v>
      </c>
      <c r="I95" s="201">
        <f t="shared" si="9"/>
        <v>2.159827213822894</v>
      </c>
      <c r="J95" s="100">
        <f t="shared" si="11"/>
        <v>26.786860035710273</v>
      </c>
      <c r="K95" s="212">
        <f>K94+H95</f>
        <v>42636.558742800575</v>
      </c>
      <c r="L95" s="18"/>
      <c r="M95" s="18"/>
      <c r="Q95" s="18"/>
      <c r="R95" s="18"/>
      <c r="S95" s="18"/>
    </row>
    <row r="96" spans="1:19" ht="14" customHeight="1" x14ac:dyDescent="0.2">
      <c r="A96" s="95" t="s">
        <v>145</v>
      </c>
      <c r="B96" s="96">
        <f t="shared" si="10"/>
        <v>0</v>
      </c>
      <c r="C96" s="97">
        <v>0</v>
      </c>
      <c r="D96" s="97"/>
      <c r="E96" s="96">
        <f t="shared" si="12"/>
        <v>61</v>
      </c>
      <c r="F96" s="98">
        <v>0</v>
      </c>
      <c r="G96" s="247">
        <v>70</v>
      </c>
      <c r="H96" s="99">
        <f t="shared" si="13"/>
        <v>0.34997200223982078</v>
      </c>
      <c r="I96" s="201">
        <f t="shared" si="9"/>
        <v>8.3993280537556991</v>
      </c>
      <c r="J96" s="100">
        <f t="shared" si="11"/>
        <v>27.136832037950093</v>
      </c>
      <c r="K96" s="212">
        <f>K95+H96</f>
        <v>42636.908714802812</v>
      </c>
      <c r="L96" s="18"/>
      <c r="M96" s="18"/>
      <c r="Q96" s="18"/>
      <c r="R96" s="18"/>
      <c r="S96" s="18"/>
    </row>
    <row r="97" spans="1:19" ht="14" customHeight="1" x14ac:dyDescent="0.2">
      <c r="A97" s="95" t="s">
        <v>146</v>
      </c>
      <c r="B97" s="96">
        <f t="shared" si="10"/>
        <v>0</v>
      </c>
      <c r="C97" s="97">
        <v>0</v>
      </c>
      <c r="D97" s="97"/>
      <c r="E97" s="96">
        <f t="shared" si="12"/>
        <v>61</v>
      </c>
      <c r="F97" s="98">
        <v>0</v>
      </c>
      <c r="G97" s="247">
        <v>24</v>
      </c>
      <c r="H97" s="99">
        <f t="shared" si="13"/>
        <v>0.11999040076793856</v>
      </c>
      <c r="I97" s="201">
        <f t="shared" si="9"/>
        <v>2.8797696184305255</v>
      </c>
      <c r="J97" s="100">
        <f t="shared" si="11"/>
        <v>27.256822438718032</v>
      </c>
      <c r="K97" s="215">
        <v>42637.489583333299</v>
      </c>
      <c r="L97" s="45" t="s">
        <v>147</v>
      </c>
      <c r="M97" s="18"/>
      <c r="Q97" s="18"/>
      <c r="R97" s="18"/>
      <c r="S97" s="18"/>
    </row>
    <row r="98" spans="1:19" ht="14" customHeight="1" x14ac:dyDescent="0.2">
      <c r="A98" s="95" t="s">
        <v>148</v>
      </c>
      <c r="B98" s="97">
        <f t="shared" si="10"/>
        <v>0</v>
      </c>
      <c r="C98" s="97">
        <v>0</v>
      </c>
      <c r="D98" s="97"/>
      <c r="E98" s="97">
        <f>E92-C98</f>
        <v>61</v>
      </c>
      <c r="F98" s="98">
        <v>0</v>
      </c>
      <c r="G98" s="247">
        <v>245</v>
      </c>
      <c r="H98" s="99">
        <f t="shared" si="13"/>
        <v>1.2249020078393726</v>
      </c>
      <c r="I98" s="201">
        <f t="shared" si="9"/>
        <v>29.397648188144942</v>
      </c>
      <c r="J98" s="101">
        <f t="shared" si="11"/>
        <v>28.481724446557404</v>
      </c>
      <c r="K98" s="212">
        <f>K97+H98</f>
        <v>42638.714485341137</v>
      </c>
      <c r="L98" s="18"/>
      <c r="M98" s="18"/>
      <c r="Q98" s="18"/>
      <c r="R98" s="18"/>
      <c r="S98" s="18"/>
    </row>
    <row r="99" spans="1:19" ht="14" customHeight="1" x14ac:dyDescent="0.2">
      <c r="A99" s="41" t="s">
        <v>149</v>
      </c>
      <c r="B99" s="30">
        <f t="shared" si="10"/>
        <v>0</v>
      </c>
      <c r="C99" s="30">
        <v>0</v>
      </c>
      <c r="D99" s="30"/>
      <c r="E99" s="30">
        <f t="shared" ref="E99:E108" si="14">E98-C99</f>
        <v>61</v>
      </c>
      <c r="F99" s="102">
        <v>0</v>
      </c>
      <c r="G99" s="241">
        <v>110</v>
      </c>
      <c r="H99" s="42">
        <f t="shared" si="13"/>
        <v>0.54995600351971841</v>
      </c>
      <c r="I99" s="31">
        <f t="shared" si="9"/>
        <v>13.198944084473242</v>
      </c>
      <c r="J99" s="33">
        <f t="shared" si="11"/>
        <v>29.031680450077122</v>
      </c>
      <c r="K99" s="215">
        <v>42639.125</v>
      </c>
      <c r="L99" s="45" t="s">
        <v>150</v>
      </c>
      <c r="M99" s="18"/>
      <c r="Q99" s="18"/>
      <c r="R99" s="18"/>
      <c r="S99" s="18"/>
    </row>
    <row r="100" spans="1:19" ht="14" customHeight="1" x14ac:dyDescent="0.2">
      <c r="A100" s="95" t="s">
        <v>151</v>
      </c>
      <c r="B100" s="97">
        <f t="shared" si="10"/>
        <v>0</v>
      </c>
      <c r="C100" s="97">
        <v>0</v>
      </c>
      <c r="D100" s="97"/>
      <c r="E100" s="97">
        <f t="shared" si="14"/>
        <v>61</v>
      </c>
      <c r="F100" s="98">
        <v>0</v>
      </c>
      <c r="G100" s="247">
        <v>165</v>
      </c>
      <c r="H100" s="99">
        <f t="shared" si="13"/>
        <v>0.8249340052795775</v>
      </c>
      <c r="I100" s="201">
        <f t="shared" si="9"/>
        <v>19.79841612670986</v>
      </c>
      <c r="J100" s="101">
        <f t="shared" si="11"/>
        <v>29.856614455356699</v>
      </c>
      <c r="K100" s="215">
        <v>42639.982638888898</v>
      </c>
      <c r="L100" s="48" t="s">
        <v>152</v>
      </c>
      <c r="M100" s="18"/>
      <c r="Q100" s="18"/>
      <c r="R100" s="18"/>
      <c r="S100" s="18"/>
    </row>
    <row r="101" spans="1:19" ht="14" customHeight="1" x14ac:dyDescent="0.2">
      <c r="A101" s="95" t="s">
        <v>153</v>
      </c>
      <c r="B101" s="96">
        <f t="shared" si="10"/>
        <v>0</v>
      </c>
      <c r="C101" s="96">
        <v>0</v>
      </c>
      <c r="D101" s="96"/>
      <c r="E101" s="96">
        <f t="shared" si="14"/>
        <v>61</v>
      </c>
      <c r="F101" s="103">
        <v>2</v>
      </c>
      <c r="G101" s="248">
        <v>270</v>
      </c>
      <c r="H101" s="104">
        <f t="shared" si="13"/>
        <v>1.4332253419726422</v>
      </c>
      <c r="I101" s="202">
        <f t="shared" si="9"/>
        <v>34.39740820734341</v>
      </c>
      <c r="J101" s="100">
        <f t="shared" si="11"/>
        <v>31.289839797329339</v>
      </c>
      <c r="K101" s="212">
        <f>K100+H101</f>
        <v>42641.415864230868</v>
      </c>
      <c r="L101" s="18"/>
      <c r="M101" s="18"/>
      <c r="Q101" s="18"/>
      <c r="R101" s="18"/>
      <c r="S101" s="18"/>
    </row>
    <row r="102" spans="1:19" ht="14" customHeight="1" x14ac:dyDescent="0.2">
      <c r="A102" s="41" t="s">
        <v>154</v>
      </c>
      <c r="B102" s="30">
        <f t="shared" si="10"/>
        <v>0</v>
      </c>
      <c r="C102" s="30">
        <v>0</v>
      </c>
      <c r="D102" s="30"/>
      <c r="E102" s="30">
        <f t="shared" si="14"/>
        <v>61</v>
      </c>
      <c r="F102" s="102">
        <v>0</v>
      </c>
      <c r="G102" s="241">
        <v>55</v>
      </c>
      <c r="H102" s="42">
        <f t="shared" si="13"/>
        <v>0.2749780017598592</v>
      </c>
      <c r="I102" s="31">
        <f t="shared" si="9"/>
        <v>6.5994720422366209</v>
      </c>
      <c r="J102" s="33">
        <f t="shared" si="11"/>
        <v>31.564817799089198</v>
      </c>
      <c r="K102" s="212">
        <f>K101+H102</f>
        <v>42641.690842232631</v>
      </c>
      <c r="L102" s="18"/>
      <c r="M102" s="18"/>
      <c r="Q102" s="18"/>
      <c r="R102" s="18"/>
      <c r="S102" s="18"/>
    </row>
    <row r="103" spans="1:19" ht="14" customHeight="1" x14ac:dyDescent="0.2">
      <c r="A103" s="95" t="s">
        <v>155</v>
      </c>
      <c r="B103" s="96">
        <f t="shared" si="10"/>
        <v>0</v>
      </c>
      <c r="C103" s="96">
        <v>0</v>
      </c>
      <c r="D103" s="96"/>
      <c r="E103" s="96">
        <f t="shared" si="14"/>
        <v>61</v>
      </c>
      <c r="F103" s="103">
        <v>2</v>
      </c>
      <c r="G103" s="248">
        <v>42</v>
      </c>
      <c r="H103" s="104">
        <f t="shared" si="13"/>
        <v>0.29331653467722579</v>
      </c>
      <c r="I103" s="202">
        <f t="shared" si="9"/>
        <v>7.0395968322534195</v>
      </c>
      <c r="J103" s="100">
        <f t="shared" si="11"/>
        <v>31.858134333766422</v>
      </c>
      <c r="K103" s="215">
        <v>42641.9152777778</v>
      </c>
      <c r="L103" s="48" t="s">
        <v>156</v>
      </c>
      <c r="M103" s="18"/>
      <c r="Q103" s="18"/>
      <c r="R103" s="18"/>
      <c r="S103" s="18"/>
    </row>
    <row r="104" spans="1:19" ht="14" customHeight="1" x14ac:dyDescent="0.2">
      <c r="A104" s="95" t="s">
        <v>157</v>
      </c>
      <c r="B104" s="96">
        <f t="shared" si="10"/>
        <v>0</v>
      </c>
      <c r="C104" s="96">
        <v>0</v>
      </c>
      <c r="D104" s="96"/>
      <c r="E104" s="96">
        <f t="shared" si="14"/>
        <v>61</v>
      </c>
      <c r="F104" s="98">
        <v>0</v>
      </c>
      <c r="G104" s="248">
        <v>26</v>
      </c>
      <c r="H104" s="104">
        <f t="shared" si="13"/>
        <v>0.12998960083193345</v>
      </c>
      <c r="I104" s="202">
        <f t="shared" si="9"/>
        <v>3.1197504199664028</v>
      </c>
      <c r="J104" s="100">
        <f t="shared" si="11"/>
        <v>31.988123934598356</v>
      </c>
      <c r="K104" s="215">
        <v>42642.041666666701</v>
      </c>
      <c r="L104" s="48" t="s">
        <v>158</v>
      </c>
      <c r="M104" s="18"/>
      <c r="Q104" s="18"/>
      <c r="R104" s="18"/>
      <c r="S104" s="18"/>
    </row>
    <row r="105" spans="1:19" ht="14" customHeight="1" x14ac:dyDescent="0.2">
      <c r="A105" s="95" t="s">
        <v>159</v>
      </c>
      <c r="B105" s="96">
        <f t="shared" si="10"/>
        <v>0</v>
      </c>
      <c r="C105" s="96">
        <v>0</v>
      </c>
      <c r="D105" s="96"/>
      <c r="E105" s="96">
        <f t="shared" si="14"/>
        <v>61</v>
      </c>
      <c r="F105" s="98">
        <v>0</v>
      </c>
      <c r="G105" s="248">
        <v>178</v>
      </c>
      <c r="H105" s="104">
        <f t="shared" si="13"/>
        <v>0.88992880569554422</v>
      </c>
      <c r="I105" s="202">
        <f t="shared" si="9"/>
        <v>21.35829133669306</v>
      </c>
      <c r="J105" s="100">
        <f t="shared" si="11"/>
        <v>32.878052740293903</v>
      </c>
      <c r="K105" s="215">
        <v>42642.934027777781</v>
      </c>
      <c r="L105" s="48" t="s">
        <v>300</v>
      </c>
      <c r="M105" s="18"/>
      <c r="Q105" s="18"/>
      <c r="R105" s="18"/>
      <c r="S105" s="18"/>
    </row>
    <row r="106" spans="1:19" ht="14" customHeight="1" x14ac:dyDescent="0.2">
      <c r="A106" s="95" t="s">
        <v>160</v>
      </c>
      <c r="B106" s="96">
        <f t="shared" si="10"/>
        <v>0</v>
      </c>
      <c r="C106" s="96">
        <v>0</v>
      </c>
      <c r="D106" s="96"/>
      <c r="E106" s="96">
        <f t="shared" si="14"/>
        <v>61</v>
      </c>
      <c r="F106" s="98">
        <v>0</v>
      </c>
      <c r="G106" s="248">
        <v>87</v>
      </c>
      <c r="H106" s="104">
        <f t="shared" si="13"/>
        <v>0.43496520278377721</v>
      </c>
      <c r="I106" s="202">
        <f t="shared" si="9"/>
        <v>10.439164866810653</v>
      </c>
      <c r="J106" s="100">
        <f t="shared" si="11"/>
        <v>33.313017943077682</v>
      </c>
      <c r="K106" s="212">
        <f t="shared" ref="K106:K117" si="15">K105+H106</f>
        <v>42643.368992980562</v>
      </c>
      <c r="L106" s="18"/>
      <c r="M106" s="18"/>
      <c r="Q106" s="18"/>
      <c r="R106" s="18"/>
      <c r="S106" s="18"/>
    </row>
    <row r="107" spans="1:19" ht="14" customHeight="1" x14ac:dyDescent="0.2">
      <c r="A107" s="41" t="s">
        <v>161</v>
      </c>
      <c r="B107" s="30">
        <f t="shared" si="10"/>
        <v>0</v>
      </c>
      <c r="C107" s="30">
        <v>0</v>
      </c>
      <c r="D107" s="30"/>
      <c r="E107" s="30">
        <f t="shared" si="14"/>
        <v>61</v>
      </c>
      <c r="F107" s="102">
        <v>0</v>
      </c>
      <c r="G107" s="241">
        <v>15</v>
      </c>
      <c r="H107" s="42">
        <f t="shared" si="13"/>
        <v>7.4994000479961589E-2</v>
      </c>
      <c r="I107" s="31">
        <f t="shared" si="9"/>
        <v>1.7998560115190783</v>
      </c>
      <c r="J107" s="33">
        <f t="shared" si="11"/>
        <v>33.388011943557643</v>
      </c>
      <c r="K107" s="224">
        <v>42643.326388888891</v>
      </c>
      <c r="L107" s="254" t="s">
        <v>301</v>
      </c>
      <c r="M107" s="18"/>
      <c r="Q107" s="18"/>
      <c r="R107" s="18"/>
      <c r="S107" s="18"/>
    </row>
    <row r="108" spans="1:19" ht="14" customHeight="1" x14ac:dyDescent="0.2">
      <c r="A108" s="95" t="s">
        <v>162</v>
      </c>
      <c r="B108" s="96">
        <f t="shared" si="10"/>
        <v>0</v>
      </c>
      <c r="C108" s="96">
        <v>0</v>
      </c>
      <c r="D108" s="96"/>
      <c r="E108" s="96">
        <f t="shared" si="14"/>
        <v>61</v>
      </c>
      <c r="F108" s="98">
        <v>0</v>
      </c>
      <c r="G108" s="248">
        <v>122</v>
      </c>
      <c r="H108" s="104">
        <f t="shared" si="13"/>
        <v>0.60995120390368773</v>
      </c>
      <c r="I108" s="202">
        <f t="shared" ref="I108:I118" si="16">H108*24</f>
        <v>14.638828893688505</v>
      </c>
      <c r="J108" s="100">
        <f t="shared" si="11"/>
        <v>33.997963147461334</v>
      </c>
      <c r="K108" s="215">
        <v>42643.954861111109</v>
      </c>
      <c r="L108" s="48" t="s">
        <v>303</v>
      </c>
      <c r="M108" s="18"/>
      <c r="Q108" s="18"/>
      <c r="R108" s="18"/>
      <c r="S108" s="18"/>
    </row>
    <row r="109" spans="1:19" ht="14" customHeight="1" x14ac:dyDescent="0.2">
      <c r="A109" s="95" t="s">
        <v>302</v>
      </c>
      <c r="B109" s="96">
        <f t="shared" ref="B109:B116" si="17">nobs_whoi-E109</f>
        <v>0</v>
      </c>
      <c r="C109" s="96">
        <v>0</v>
      </c>
      <c r="D109" s="96"/>
      <c r="E109" s="96">
        <f>E108-C109</f>
        <v>61</v>
      </c>
      <c r="F109" s="103">
        <v>2</v>
      </c>
      <c r="G109" s="248">
        <v>200</v>
      </c>
      <c r="H109" s="104">
        <f t="shared" si="13"/>
        <v>1.0832533397328212</v>
      </c>
      <c r="I109" s="202">
        <f t="shared" si="16"/>
        <v>25.998080153587708</v>
      </c>
      <c r="J109" s="100">
        <f t="shared" si="11"/>
        <v>35.081216487194155</v>
      </c>
      <c r="K109" s="215">
        <v>42645.003472222219</v>
      </c>
      <c r="L109" s="48" t="s">
        <v>305</v>
      </c>
      <c r="M109" s="18"/>
      <c r="Q109" s="18"/>
      <c r="R109" s="18"/>
      <c r="S109" s="18"/>
    </row>
    <row r="110" spans="1:19" ht="14" customHeight="1" x14ac:dyDescent="0.2">
      <c r="A110" s="95" t="s">
        <v>163</v>
      </c>
      <c r="B110" s="96">
        <f t="shared" si="17"/>
        <v>0</v>
      </c>
      <c r="C110" s="96">
        <v>0</v>
      </c>
      <c r="D110" s="96"/>
      <c r="E110" s="96">
        <f>E109-C110</f>
        <v>61</v>
      </c>
      <c r="F110" s="103">
        <v>1</v>
      </c>
      <c r="G110" s="248">
        <v>94</v>
      </c>
      <c r="H110" s="104">
        <f t="shared" si="13"/>
        <v>0.51162906967442601</v>
      </c>
      <c r="I110" s="202">
        <f t="shared" si="16"/>
        <v>12.279097672186225</v>
      </c>
      <c r="J110" s="100">
        <f t="shared" si="11"/>
        <v>35.592845556868582</v>
      </c>
      <c r="K110" s="212">
        <f t="shared" si="15"/>
        <v>42645.515101291894</v>
      </c>
      <c r="L110" s="105"/>
      <c r="M110" s="2">
        <f>SUM(G103:G106)+G111+G110</f>
        <v>510</v>
      </c>
      <c r="Q110" s="18"/>
      <c r="R110" s="18"/>
      <c r="S110" s="18"/>
    </row>
    <row r="111" spans="1:19" ht="14" customHeight="1" x14ac:dyDescent="0.2">
      <c r="A111" s="95" t="s">
        <v>164</v>
      </c>
      <c r="B111" s="96">
        <f t="shared" si="17"/>
        <v>0</v>
      </c>
      <c r="C111" s="96">
        <v>0</v>
      </c>
      <c r="D111" s="96"/>
      <c r="E111" s="96">
        <f>E110-C111</f>
        <v>61</v>
      </c>
      <c r="F111" s="103">
        <v>1</v>
      </c>
      <c r="G111" s="248">
        <v>83</v>
      </c>
      <c r="H111" s="104">
        <f t="shared" si="13"/>
        <v>0.45663346932245413</v>
      </c>
      <c r="I111" s="202">
        <f t="shared" si="16"/>
        <v>10.9592032637389</v>
      </c>
      <c r="J111" s="100">
        <f t="shared" si="11"/>
        <v>36.049479026191037</v>
      </c>
      <c r="K111" s="215">
        <v>42645.84375</v>
      </c>
      <c r="L111" s="48" t="s">
        <v>306</v>
      </c>
      <c r="M111" s="18"/>
      <c r="Q111" s="18"/>
      <c r="R111" s="18"/>
      <c r="S111" s="18"/>
    </row>
    <row r="112" spans="1:19" ht="14" customHeight="1" x14ac:dyDescent="0.2">
      <c r="A112" s="95" t="s">
        <v>307</v>
      </c>
      <c r="B112" s="96">
        <f t="shared" ref="B112" si="18">nobs_whoi-E112</f>
        <v>0</v>
      </c>
      <c r="C112" s="96">
        <v>0</v>
      </c>
      <c r="D112" s="96"/>
      <c r="E112" s="96">
        <f>E111-C112</f>
        <v>61</v>
      </c>
      <c r="F112" s="103">
        <v>1</v>
      </c>
      <c r="G112" s="248">
        <v>52</v>
      </c>
      <c r="H112" s="104">
        <f t="shared" ref="H112" si="19">(F112+G112*nM_km/mcs_shoot)/24</f>
        <v>0.30164586833053358</v>
      </c>
      <c r="I112" s="202">
        <f t="shared" ref="I112" si="20">H112*24</f>
        <v>7.2395008399328056</v>
      </c>
      <c r="J112" s="100">
        <f t="shared" ref="J112" si="21">J111+H112</f>
        <v>36.351124894521568</v>
      </c>
      <c r="K112" s="215">
        <v>42646.119444444441</v>
      </c>
      <c r="L112" s="254" t="s">
        <v>308</v>
      </c>
      <c r="M112" s="18"/>
      <c r="Q112" s="18"/>
      <c r="R112" s="18"/>
      <c r="S112" s="18"/>
    </row>
    <row r="113" spans="1:19" ht="14" customHeight="1" x14ac:dyDescent="0.2">
      <c r="A113" s="41" t="s">
        <v>304</v>
      </c>
      <c r="B113" s="30">
        <f t="shared" si="17"/>
        <v>0</v>
      </c>
      <c r="C113" s="30">
        <v>0</v>
      </c>
      <c r="D113" s="30"/>
      <c r="E113" s="30">
        <f>E111-C113</f>
        <v>61</v>
      </c>
      <c r="F113" s="102">
        <v>0</v>
      </c>
      <c r="G113" s="241">
        <v>140</v>
      </c>
      <c r="H113" s="42">
        <f t="shared" si="13"/>
        <v>0.69994400447964156</v>
      </c>
      <c r="I113" s="31">
        <f t="shared" si="16"/>
        <v>16.798656107511398</v>
      </c>
      <c r="J113" s="33">
        <f>J112+H113</f>
        <v>37.051068899001208</v>
      </c>
      <c r="K113" s="215">
        <v>42646.806250000001</v>
      </c>
      <c r="L113" s="48" t="s">
        <v>309</v>
      </c>
      <c r="M113" s="18"/>
      <c r="Q113" s="18"/>
      <c r="R113" s="18"/>
      <c r="S113" s="18"/>
    </row>
    <row r="114" spans="1:19" ht="14" customHeight="1" x14ac:dyDescent="0.2">
      <c r="A114" s="95" t="s">
        <v>165</v>
      </c>
      <c r="B114" s="96">
        <f t="shared" si="17"/>
        <v>0</v>
      </c>
      <c r="C114" s="96">
        <v>0</v>
      </c>
      <c r="D114" s="96"/>
      <c r="E114" s="96">
        <f>E113-C114</f>
        <v>61</v>
      </c>
      <c r="F114" s="103">
        <v>1</v>
      </c>
      <c r="G114" s="248">
        <v>115</v>
      </c>
      <c r="H114" s="104">
        <f t="shared" si="13"/>
        <v>0.61662067034637225</v>
      </c>
      <c r="I114" s="202">
        <f t="shared" si="16"/>
        <v>14.798896088312933</v>
      </c>
      <c r="J114" s="100">
        <f t="shared" si="11"/>
        <v>37.66768956934758</v>
      </c>
      <c r="K114" s="215">
        <v>42647.368055555555</v>
      </c>
      <c r="L114" s="254" t="s">
        <v>310</v>
      </c>
      <c r="M114" s="18"/>
      <c r="Q114" s="18"/>
      <c r="R114" s="18"/>
      <c r="S114" s="18"/>
    </row>
    <row r="115" spans="1:19" ht="13" customHeight="1" x14ac:dyDescent="0.2">
      <c r="A115" s="41" t="s">
        <v>48</v>
      </c>
      <c r="B115" s="30">
        <f t="shared" si="17"/>
        <v>0</v>
      </c>
      <c r="C115" s="30">
        <v>0</v>
      </c>
      <c r="D115" s="30"/>
      <c r="E115" s="30">
        <f>E103-C115</f>
        <v>61</v>
      </c>
      <c r="F115" s="30"/>
      <c r="G115" s="241">
        <v>0</v>
      </c>
      <c r="H115" s="42">
        <f>2/24</f>
        <v>8.3333333333333329E-2</v>
      </c>
      <c r="I115" s="31">
        <f t="shared" si="16"/>
        <v>2</v>
      </c>
      <c r="J115" s="33">
        <f t="shared" si="11"/>
        <v>37.751022902680916</v>
      </c>
      <c r="K115" s="215">
        <v>42647.418055555558</v>
      </c>
      <c r="L115" s="254" t="s">
        <v>311</v>
      </c>
      <c r="M115" s="255" t="s">
        <v>312</v>
      </c>
      <c r="Q115" s="18"/>
      <c r="R115" s="18"/>
      <c r="S115" s="18"/>
    </row>
    <row r="116" spans="1:19" ht="13" customHeight="1" x14ac:dyDescent="0.2">
      <c r="A116" s="41" t="s">
        <v>166</v>
      </c>
      <c r="B116" s="30">
        <f t="shared" si="17"/>
        <v>0</v>
      </c>
      <c r="C116" s="30">
        <v>0</v>
      </c>
      <c r="D116" s="30"/>
      <c r="E116" s="30">
        <f>E109-C116</f>
        <v>61</v>
      </c>
      <c r="F116" s="30"/>
      <c r="G116" s="241">
        <v>0</v>
      </c>
      <c r="H116" s="42">
        <f>12/24</f>
        <v>0.5</v>
      </c>
      <c r="I116" s="31">
        <f t="shared" si="16"/>
        <v>12</v>
      </c>
      <c r="J116" s="33">
        <f t="shared" si="11"/>
        <v>38.251022902680916</v>
      </c>
      <c r="K116" s="215">
        <v>42647.545138888891</v>
      </c>
      <c r="L116" s="254" t="s">
        <v>313</v>
      </c>
      <c r="M116" s="18"/>
      <c r="Q116" s="18"/>
      <c r="R116" s="18"/>
      <c r="S116" s="18"/>
    </row>
    <row r="117" spans="1:19" x14ac:dyDescent="0.2">
      <c r="A117" s="24" t="s">
        <v>167</v>
      </c>
      <c r="B117" s="106"/>
      <c r="C117" s="25"/>
      <c r="D117" s="25"/>
      <c r="E117" s="25"/>
      <c r="F117" s="25"/>
      <c r="G117" s="25">
        <v>700</v>
      </c>
      <c r="H117" s="107">
        <f>(G117*nM_km/transit)/24</f>
        <v>1.6070142959991769</v>
      </c>
      <c r="I117" s="27">
        <f t="shared" si="16"/>
        <v>38.568343103980247</v>
      </c>
      <c r="J117" s="28">
        <f t="shared" si="11"/>
        <v>39.858037198680094</v>
      </c>
      <c r="K117" s="229">
        <f t="shared" si="15"/>
        <v>42649.152153184892</v>
      </c>
    </row>
    <row r="118" spans="1:19" ht="14" customHeight="1" x14ac:dyDescent="0.2">
      <c r="A118" s="108" t="s">
        <v>168</v>
      </c>
      <c r="B118" s="109">
        <f>nobs_whoi-E118</f>
        <v>0</v>
      </c>
      <c r="C118" s="109">
        <v>0</v>
      </c>
      <c r="D118" s="109"/>
      <c r="E118" s="109">
        <f>E87-C118+D118</f>
        <v>61</v>
      </c>
      <c r="F118" s="109"/>
      <c r="G118" s="109">
        <v>0</v>
      </c>
      <c r="H118" s="110">
        <f>K118-K117</f>
        <v>10.181180148407293</v>
      </c>
      <c r="I118" s="203">
        <f t="shared" si="16"/>
        <v>244.34832356177503</v>
      </c>
      <c r="J118" s="111"/>
      <c r="K118" s="230">
        <v>42659.333333333299</v>
      </c>
      <c r="L118" s="18"/>
      <c r="M118" s="18"/>
      <c r="Q118" s="18"/>
      <c r="R118" s="18"/>
      <c r="S118" s="18"/>
    </row>
    <row r="119" spans="1:19" ht="13" customHeight="1" x14ac:dyDescent="0.2">
      <c r="A119" s="41"/>
      <c r="C119" s="102"/>
      <c r="D119" s="102"/>
      <c r="E119" s="30"/>
      <c r="F119" s="30"/>
      <c r="G119" s="30"/>
      <c r="H119" s="42"/>
      <c r="I119" s="32"/>
      <c r="J119" s="33"/>
      <c r="K119" s="212"/>
      <c r="L119" s="18"/>
      <c r="M119" s="18"/>
      <c r="Q119" s="18"/>
      <c r="R119" s="18"/>
      <c r="S119" s="18"/>
    </row>
    <row r="120" spans="1:19" ht="13" customHeight="1" x14ac:dyDescent="0.2">
      <c r="A120" s="112"/>
      <c r="B120" s="113"/>
      <c r="C120" s="113"/>
      <c r="D120" s="113"/>
      <c r="E120" s="114"/>
      <c r="F120" s="114"/>
      <c r="G120" s="237"/>
      <c r="H120" s="115"/>
      <c r="I120" s="116"/>
      <c r="J120" s="117"/>
      <c r="K120" s="231"/>
      <c r="L120" s="18"/>
      <c r="M120" s="18"/>
      <c r="Q120" s="18"/>
      <c r="R120" s="18"/>
      <c r="S120" s="18"/>
    </row>
    <row r="121" spans="1:19" s="1" customFormat="1" ht="13" customHeight="1" x14ac:dyDescent="0.2">
      <c r="G121" s="2"/>
      <c r="I121" s="118"/>
      <c r="K121" s="204"/>
      <c r="L121" s="18"/>
      <c r="M121" s="18"/>
      <c r="Q121" s="18"/>
      <c r="R121" s="18"/>
      <c r="S121" s="18"/>
    </row>
    <row r="122" spans="1:19" ht="13" customHeight="1" x14ac:dyDescent="0.2">
      <c r="L122" s="18"/>
      <c r="M122" s="18"/>
      <c r="Q122" s="18"/>
      <c r="R122" s="18"/>
      <c r="S122" s="18"/>
    </row>
    <row r="123" spans="1:19" ht="13" customHeight="1" x14ac:dyDescent="0.2">
      <c r="A123" s="22"/>
      <c r="B123" s="22"/>
      <c r="C123" s="30"/>
      <c r="D123" s="30"/>
      <c r="E123" s="30"/>
      <c r="F123" s="30"/>
      <c r="G123" s="30"/>
      <c r="H123" s="119"/>
      <c r="I123" s="32"/>
      <c r="J123" s="33"/>
      <c r="K123" s="209"/>
      <c r="L123" s="18"/>
      <c r="M123" s="18"/>
      <c r="Q123" s="18"/>
      <c r="R123" s="18"/>
      <c r="S123" s="18"/>
    </row>
    <row r="124" spans="1:19" ht="13" customHeight="1" x14ac:dyDescent="0.2">
      <c r="A124" s="120" t="s">
        <v>169</v>
      </c>
      <c r="B124" s="121"/>
      <c r="C124" s="122"/>
      <c r="D124" s="122"/>
      <c r="E124" s="122"/>
      <c r="F124" s="122"/>
      <c r="G124" s="122"/>
      <c r="H124" s="123">
        <v>0</v>
      </c>
      <c r="I124" s="251">
        <f>H124*24</f>
        <v>0</v>
      </c>
      <c r="J124" s="62">
        <f>J117+H124</f>
        <v>39.858037198680094</v>
      </c>
      <c r="K124" s="221">
        <f>K117+H124</f>
        <v>42649.152153184892</v>
      </c>
      <c r="L124" s="18"/>
      <c r="M124" s="18"/>
      <c r="Q124" s="18"/>
      <c r="R124" s="18"/>
      <c r="S124" s="18"/>
    </row>
    <row r="125" spans="1:19" ht="13" customHeight="1" x14ac:dyDescent="0.2">
      <c r="A125" s="124" t="s">
        <v>170</v>
      </c>
      <c r="B125" s="125"/>
      <c r="C125" s="126"/>
      <c r="D125" s="126"/>
      <c r="E125" s="126"/>
      <c r="F125" s="126"/>
      <c r="G125" s="126"/>
      <c r="H125" s="127">
        <v>0</v>
      </c>
      <c r="I125" s="252">
        <f>H125*24</f>
        <v>0</v>
      </c>
      <c r="J125" s="33">
        <f>J124+H125</f>
        <v>39.858037198680094</v>
      </c>
      <c r="K125" s="216">
        <f>K124+H125</f>
        <v>42649.152153184892</v>
      </c>
      <c r="L125" s="18"/>
      <c r="M125" s="18"/>
      <c r="R125" s="18"/>
      <c r="S125" s="18"/>
    </row>
    <row r="126" spans="1:19" ht="13" customHeight="1" x14ac:dyDescent="0.2">
      <c r="A126" s="128" t="s">
        <v>171</v>
      </c>
      <c r="B126" s="129"/>
      <c r="C126" s="130"/>
      <c r="D126" s="130"/>
      <c r="E126" s="131"/>
      <c r="F126" s="131"/>
      <c r="G126" s="130"/>
      <c r="H126" s="127"/>
      <c r="I126" s="253">
        <f>H126*24</f>
        <v>0</v>
      </c>
      <c r="J126" s="80">
        <f>J125+H126</f>
        <v>39.858037198680094</v>
      </c>
      <c r="K126" s="232">
        <f>K125+H126</f>
        <v>42649.152153184892</v>
      </c>
      <c r="L126" s="18"/>
      <c r="M126" s="18"/>
      <c r="Q126" s="18"/>
      <c r="R126" s="18"/>
      <c r="S126" s="18"/>
    </row>
    <row r="127" spans="1:19" ht="13" customHeight="1" x14ac:dyDescent="0.2">
      <c r="A127" s="22"/>
      <c r="B127" s="22"/>
      <c r="C127" s="12"/>
      <c r="D127" s="12"/>
      <c r="E127" s="30"/>
      <c r="F127" s="30"/>
      <c r="G127" s="30"/>
      <c r="H127" s="119">
        <f>SUM(H9:H126)</f>
        <v>50.339193349007232</v>
      </c>
      <c r="I127" s="119"/>
      <c r="J127" s="33"/>
      <c r="K127" s="233"/>
      <c r="L127" s="18"/>
      <c r="M127" s="18"/>
      <c r="Q127" s="18"/>
      <c r="R127" s="18"/>
      <c r="S127" s="18"/>
    </row>
    <row r="128" spans="1:19" ht="13" customHeight="1" x14ac:dyDescent="0.2">
      <c r="A128" s="132" t="s">
        <v>172</v>
      </c>
      <c r="B128" s="132"/>
      <c r="C128" s="20"/>
      <c r="D128" s="20"/>
      <c r="E128" s="78"/>
      <c r="F128" s="78"/>
      <c r="G128" s="78"/>
      <c r="H128" s="119">
        <v>1</v>
      </c>
      <c r="I128" s="119"/>
      <c r="J128" s="33"/>
      <c r="K128" s="233"/>
      <c r="L128" s="18"/>
      <c r="M128" s="18"/>
      <c r="Q128" s="18"/>
      <c r="R128" s="18"/>
      <c r="S128" s="18"/>
    </row>
    <row r="129" spans="1:22" ht="13" customHeight="1" x14ac:dyDescent="0.2">
      <c r="A129" s="11" t="s">
        <v>173</v>
      </c>
      <c r="B129" s="22"/>
      <c r="C129" s="12"/>
      <c r="D129" s="30"/>
      <c r="E129" s="30"/>
      <c r="F129" s="22"/>
      <c r="G129" s="238">
        <f>H127+H128</f>
        <v>51.339193349007232</v>
      </c>
      <c r="H129" s="119"/>
      <c r="I129" s="33"/>
      <c r="J129" s="133"/>
      <c r="K129" s="233"/>
      <c r="L129" s="18"/>
      <c r="M129" s="18"/>
      <c r="Q129" s="18"/>
      <c r="R129" s="18"/>
      <c r="S129" s="18"/>
    </row>
    <row r="130" spans="1:22" ht="13" customHeight="1" x14ac:dyDescent="0.2">
      <c r="A130" s="22"/>
      <c r="B130" s="22"/>
      <c r="C130" s="12"/>
      <c r="D130" s="30"/>
      <c r="E130" s="22"/>
      <c r="F130" s="119"/>
      <c r="G130" s="31"/>
      <c r="H130" s="33"/>
      <c r="I130" s="17"/>
      <c r="K130" s="233"/>
      <c r="L130" s="18"/>
      <c r="M130" s="18"/>
      <c r="Q130" s="18"/>
      <c r="R130" s="18"/>
      <c r="S130" s="18"/>
      <c r="V130" s="15"/>
    </row>
    <row r="131" spans="1:22" ht="13" customHeight="1" x14ac:dyDescent="0.2">
      <c r="A131" s="22"/>
      <c r="B131" s="22"/>
      <c r="C131" s="12"/>
      <c r="D131" s="30"/>
      <c r="E131" s="22"/>
      <c r="F131" s="119"/>
      <c r="G131" s="31"/>
      <c r="H131" s="33"/>
      <c r="I131" s="17"/>
      <c r="K131" s="233"/>
      <c r="L131" s="18"/>
      <c r="M131" s="18"/>
      <c r="R131" s="18"/>
      <c r="S131" s="18"/>
      <c r="V131" s="15"/>
    </row>
    <row r="132" spans="1:22" ht="13" customHeight="1" x14ac:dyDescent="0.2">
      <c r="A132" s="134" t="s">
        <v>174</v>
      </c>
      <c r="B132" s="23">
        <f>H9+H14+H117</f>
        <v>8.1793946357337273</v>
      </c>
      <c r="C132" s="12"/>
      <c r="D132" s="30"/>
      <c r="E132" s="22"/>
      <c r="F132" s="119"/>
      <c r="G132" s="31"/>
      <c r="H132" s="33"/>
      <c r="I132" s="17"/>
      <c r="K132" s="233"/>
      <c r="L132" s="18"/>
      <c r="M132" s="18"/>
      <c r="Q132" s="18"/>
      <c r="R132" s="18"/>
      <c r="S132" s="18"/>
      <c r="V132" s="15"/>
    </row>
    <row r="133" spans="1:22" ht="13" customHeight="1" x14ac:dyDescent="0.2">
      <c r="A133" s="134" t="s">
        <v>175</v>
      </c>
      <c r="B133" s="23">
        <f>G129-B132</f>
        <v>43.159798713273503</v>
      </c>
      <c r="C133" s="12"/>
      <c r="D133" s="30"/>
      <c r="E133" s="22"/>
      <c r="F133" s="119"/>
      <c r="G133" s="31"/>
      <c r="H133" s="33"/>
      <c r="I133" s="17"/>
      <c r="J133" s="1">
        <f>475/10.2</f>
        <v>46.568627450980394</v>
      </c>
      <c r="K133" s="233"/>
      <c r="L133" s="18"/>
      <c r="M133" s="18"/>
      <c r="Q133" s="18"/>
      <c r="R133" s="18"/>
      <c r="S133" s="18"/>
      <c r="V133" s="15"/>
    </row>
    <row r="134" spans="1:22" ht="13" customHeight="1" x14ac:dyDescent="0.2">
      <c r="A134" s="135" t="s">
        <v>176</v>
      </c>
      <c r="B134" s="22">
        <v>61</v>
      </c>
      <c r="C134" s="30"/>
      <c r="D134" s="30"/>
      <c r="E134" s="22"/>
      <c r="F134" s="119"/>
      <c r="G134" s="31"/>
      <c r="H134" s="33"/>
      <c r="I134" s="17"/>
      <c r="J134" s="15"/>
      <c r="L134" s="18"/>
      <c r="M134" s="18"/>
      <c r="Q134" s="18"/>
      <c r="R134" s="18"/>
      <c r="S134" s="18"/>
      <c r="V134" s="15"/>
    </row>
    <row r="135" spans="1:22" ht="13" customHeight="1" x14ac:dyDescent="0.2">
      <c r="F135" s="136"/>
      <c r="G135" s="239"/>
      <c r="I135" s="17"/>
      <c r="J135" s="75"/>
      <c r="L135" s="18"/>
      <c r="M135" s="18"/>
      <c r="Q135" s="18"/>
      <c r="R135" s="18"/>
      <c r="S135" s="18"/>
      <c r="V135" s="137"/>
    </row>
    <row r="136" spans="1:22" ht="13" customHeight="1" x14ac:dyDescent="0.2">
      <c r="A136" s="138"/>
      <c r="B136" s="138"/>
      <c r="C136" s="139"/>
      <c r="D136" s="139"/>
      <c r="E136" s="138"/>
      <c r="F136" s="140"/>
      <c r="I136" s="17"/>
      <c r="J136" s="75"/>
      <c r="K136" s="233"/>
      <c r="L136" s="18"/>
      <c r="M136" s="18"/>
      <c r="Q136" s="18"/>
      <c r="R136" s="18"/>
      <c r="S136" s="18"/>
      <c r="V136" s="15"/>
    </row>
    <row r="137" spans="1:22" ht="13" customHeight="1" x14ac:dyDescent="0.2">
      <c r="A137" s="11" t="s">
        <v>177</v>
      </c>
      <c r="B137" s="11"/>
      <c r="C137" s="12"/>
      <c r="D137" s="12"/>
      <c r="E137" s="22" t="s">
        <v>178</v>
      </c>
      <c r="F137" s="23"/>
      <c r="G137" s="70"/>
      <c r="I137" s="17"/>
      <c r="K137" s="233"/>
      <c r="L137" s="18"/>
      <c r="M137" s="18"/>
      <c r="Q137" s="18"/>
      <c r="R137" s="18"/>
      <c r="S137" s="18"/>
      <c r="V137" s="15"/>
    </row>
    <row r="138" spans="1:22" ht="13" customHeight="1" x14ac:dyDescent="0.2">
      <c r="A138" s="22" t="s">
        <v>179</v>
      </c>
      <c r="B138" s="22"/>
      <c r="C138" s="30"/>
      <c r="D138" s="30"/>
      <c r="E138" s="23">
        <f>1/E139</f>
        <v>0.5399568034557235</v>
      </c>
      <c r="F138" s="23"/>
      <c r="G138" s="70"/>
      <c r="K138" s="233"/>
      <c r="L138" s="18"/>
      <c r="M138" s="18"/>
      <c r="Q138" s="18"/>
      <c r="R138" s="18"/>
      <c r="S138" s="18"/>
      <c r="V138" s="141"/>
    </row>
    <row r="139" spans="1:22" ht="13" customHeight="1" x14ac:dyDescent="0.2">
      <c r="A139" s="22" t="s">
        <v>180</v>
      </c>
      <c r="B139" s="22"/>
      <c r="C139" s="30"/>
      <c r="D139" s="30"/>
      <c r="E139" s="23">
        <v>1.8520000000000001</v>
      </c>
      <c r="F139" s="23"/>
      <c r="G139" s="70"/>
      <c r="I139" s="5">
        <v>1</v>
      </c>
      <c r="J139" s="1">
        <v>24</v>
      </c>
      <c r="K139" s="233"/>
      <c r="L139" s="18"/>
      <c r="M139" s="18"/>
      <c r="Q139" s="18"/>
      <c r="R139" s="18"/>
      <c r="S139" s="18"/>
      <c r="V139" s="15"/>
    </row>
    <row r="140" spans="1:22" ht="13" customHeight="1" x14ac:dyDescent="0.2">
      <c r="A140" s="22"/>
      <c r="B140" s="22"/>
      <c r="C140" s="30"/>
      <c r="D140" s="30"/>
      <c r="E140" s="23"/>
      <c r="F140" s="23"/>
      <c r="G140" s="70"/>
      <c r="I140" s="5">
        <v>2</v>
      </c>
      <c r="J140" s="1">
        <f t="shared" ref="J140:J145" si="22">J139+24</f>
        <v>48</v>
      </c>
      <c r="K140" s="233"/>
      <c r="L140" s="18"/>
      <c r="M140" s="18"/>
      <c r="Q140" s="18"/>
      <c r="R140" s="18"/>
      <c r="S140" s="18"/>
      <c r="V140" s="15"/>
    </row>
    <row r="141" spans="1:22" ht="13" customHeight="1" x14ac:dyDescent="0.2">
      <c r="A141" s="11" t="s">
        <v>181</v>
      </c>
      <c r="B141" s="11"/>
      <c r="C141" s="12"/>
      <c r="D141" s="12"/>
      <c r="E141" s="23"/>
      <c r="F141" s="23"/>
      <c r="G141" s="70"/>
      <c r="I141" s="5">
        <v>3</v>
      </c>
      <c r="J141" s="1">
        <f t="shared" si="22"/>
        <v>72</v>
      </c>
      <c r="K141" s="204"/>
      <c r="L141" s="18"/>
      <c r="M141" s="18"/>
      <c r="Q141" s="18"/>
      <c r="R141" s="18"/>
      <c r="S141" s="18"/>
      <c r="V141" s="15"/>
    </row>
    <row r="142" spans="1:22" ht="13" customHeight="1" x14ac:dyDescent="0.2">
      <c r="A142" s="22" t="s">
        <v>182</v>
      </c>
      <c r="B142" s="22"/>
      <c r="C142" s="30"/>
      <c r="D142" s="30"/>
      <c r="E142" s="23">
        <v>9.8000000000000007</v>
      </c>
      <c r="F142" s="23"/>
      <c r="G142" s="70"/>
      <c r="I142" s="5">
        <v>4</v>
      </c>
      <c r="J142" s="1">
        <f t="shared" si="22"/>
        <v>96</v>
      </c>
      <c r="K142" s="207"/>
      <c r="L142" s="18"/>
      <c r="M142" s="18"/>
      <c r="Q142" s="18"/>
      <c r="R142" s="18"/>
      <c r="S142" s="18"/>
      <c r="V142" s="15"/>
    </row>
    <row r="143" spans="1:22" ht="13" customHeight="1" x14ac:dyDescent="0.2">
      <c r="A143" s="22" t="s">
        <v>183</v>
      </c>
      <c r="B143" s="22"/>
      <c r="C143" s="30"/>
      <c r="D143" s="30"/>
      <c r="E143" s="23">
        <v>9.8000000000000007</v>
      </c>
      <c r="F143" s="23"/>
      <c r="G143" s="70"/>
      <c r="I143" s="5">
        <v>5</v>
      </c>
      <c r="J143" s="1">
        <f t="shared" si="22"/>
        <v>120</v>
      </c>
      <c r="L143" s="18"/>
      <c r="M143" s="18"/>
      <c r="N143"/>
      <c r="Q143" s="18"/>
      <c r="R143" s="18"/>
      <c r="S143" s="18"/>
      <c r="V143" s="15"/>
    </row>
    <row r="144" spans="1:22" ht="13" customHeight="1" x14ac:dyDescent="0.2">
      <c r="A144" s="22" t="s">
        <v>184</v>
      </c>
      <c r="B144" s="22"/>
      <c r="C144" s="30"/>
      <c r="D144" s="30"/>
      <c r="E144" s="23">
        <v>9.5</v>
      </c>
      <c r="F144" s="23"/>
      <c r="G144" s="70"/>
      <c r="I144" s="5">
        <v>6</v>
      </c>
      <c r="J144" s="1">
        <f t="shared" si="22"/>
        <v>144</v>
      </c>
      <c r="L144" s="18"/>
      <c r="M144" s="18"/>
      <c r="N144"/>
      <c r="Q144" s="18"/>
      <c r="R144" s="18"/>
      <c r="S144" s="18"/>
      <c r="V144" s="15"/>
    </row>
    <row r="145" spans="1:22" ht="13" customHeight="1" x14ac:dyDescent="0.2">
      <c r="A145" s="22" t="s">
        <v>185</v>
      </c>
      <c r="B145" s="22"/>
      <c r="C145" s="30"/>
      <c r="D145" s="30"/>
      <c r="E145" s="23">
        <f>20/60</f>
        <v>0.33333333333333331</v>
      </c>
      <c r="F145" s="23"/>
      <c r="G145" s="70"/>
      <c r="I145" s="5">
        <v>7</v>
      </c>
      <c r="J145" s="1">
        <f t="shared" si="22"/>
        <v>168</v>
      </c>
      <c r="L145" s="18"/>
      <c r="M145" s="18"/>
      <c r="N145"/>
      <c r="Q145" s="18"/>
      <c r="R145" s="18"/>
      <c r="S145" s="18"/>
      <c r="V145" s="15"/>
    </row>
    <row r="146" spans="1:22" ht="13" customHeight="1" x14ac:dyDescent="0.2">
      <c r="A146" s="22" t="s">
        <v>186</v>
      </c>
      <c r="B146" s="22"/>
      <c r="C146" s="30"/>
      <c r="D146" s="30"/>
      <c r="E146" s="23">
        <f>avg_teth_dep</f>
        <v>0.77500000000000002</v>
      </c>
      <c r="F146" s="23"/>
      <c r="G146" s="70"/>
      <c r="K146" s="207"/>
      <c r="L146" s="18"/>
      <c r="M146" s="18"/>
      <c r="N146"/>
      <c r="Q146" s="18"/>
      <c r="R146" s="18"/>
      <c r="S146" s="18"/>
      <c r="V146" s="15"/>
    </row>
    <row r="147" spans="1:22" ht="13" customHeight="1" x14ac:dyDescent="0.2">
      <c r="A147" s="22" t="s">
        <v>187</v>
      </c>
      <c r="B147" s="22"/>
      <c r="C147" s="30"/>
      <c r="D147" s="30"/>
      <c r="E147" s="23">
        <f>burn_time+avg_rise_strike</f>
        <v>0.73850574712643668</v>
      </c>
      <c r="F147" s="23"/>
      <c r="G147" s="70"/>
      <c r="K147" s="207"/>
      <c r="L147" s="18"/>
      <c r="M147" s="18"/>
      <c r="N147"/>
      <c r="Q147" s="18"/>
      <c r="R147" s="18"/>
      <c r="S147" s="18"/>
      <c r="V147" s="15"/>
    </row>
    <row r="148" spans="1:22" ht="13" customHeight="1" x14ac:dyDescent="0.2">
      <c r="A148" s="22" t="s">
        <v>188</v>
      </c>
      <c r="B148" s="22"/>
      <c r="C148" s="30"/>
      <c r="D148" s="30"/>
      <c r="E148" s="23">
        <f>burn_time+avg_rise_D1N</f>
        <v>1.6143678160919541</v>
      </c>
      <c r="F148" s="23"/>
      <c r="G148" s="70"/>
      <c r="K148" s="207"/>
      <c r="L148" s="18"/>
      <c r="M148" s="18"/>
      <c r="N148"/>
      <c r="Q148" s="18"/>
      <c r="R148" s="18"/>
      <c r="S148" s="18"/>
      <c r="V148" s="15"/>
    </row>
    <row r="149" spans="1:22" ht="13" customHeight="1" x14ac:dyDescent="0.2">
      <c r="A149" s="22" t="s">
        <v>189</v>
      </c>
      <c r="B149" s="22"/>
      <c r="C149" s="30"/>
      <c r="D149" s="30"/>
      <c r="E149" s="23">
        <f>burn_time+avg_rise_D1S</f>
        <v>1.9057471264367816</v>
      </c>
      <c r="F149" s="23"/>
      <c r="G149" s="70"/>
      <c r="H149" s="70"/>
      <c r="J149" s="1">
        <f>558/10/24</f>
        <v>2.3249999999999997</v>
      </c>
      <c r="K149" s="207"/>
      <c r="L149" s="18"/>
      <c r="M149" s="18"/>
      <c r="N149"/>
      <c r="Q149" s="18"/>
      <c r="R149" s="18"/>
      <c r="S149" s="18"/>
      <c r="V149" s="15"/>
    </row>
    <row r="150" spans="1:22" ht="13" customHeight="1" x14ac:dyDescent="0.2">
      <c r="A150" s="22" t="s">
        <v>190</v>
      </c>
      <c r="B150" s="22"/>
      <c r="C150" s="30"/>
      <c r="D150" s="30"/>
      <c r="E150" s="23">
        <f>burn_time+0.75+avg_rise_D2N</f>
        <v>2.3505747126436782</v>
      </c>
      <c r="F150" s="23"/>
      <c r="G150" s="70"/>
      <c r="H150" s="70"/>
      <c r="K150" s="207"/>
      <c r="L150" s="18"/>
      <c r="M150" s="18"/>
      <c r="N150"/>
      <c r="Q150" s="18"/>
      <c r="R150" s="18"/>
      <c r="S150" s="18"/>
      <c r="V150" s="142"/>
    </row>
    <row r="151" spans="1:22" ht="13" customHeight="1" x14ac:dyDescent="0.2">
      <c r="A151" s="22" t="s">
        <v>191</v>
      </c>
      <c r="B151" s="22"/>
      <c r="C151" s="30"/>
      <c r="D151" s="30"/>
      <c r="E151" s="23">
        <f>burn_time+0.75+avg_rise_D2S</f>
        <v>2.3505747126436782</v>
      </c>
      <c r="F151" s="23"/>
      <c r="G151" s="70"/>
      <c r="H151" s="70"/>
      <c r="L151" s="18"/>
      <c r="M151" s="18"/>
      <c r="N151"/>
      <c r="Q151" s="18"/>
      <c r="R151" s="18"/>
      <c r="S151" s="18"/>
      <c r="V151" s="15"/>
    </row>
    <row r="152" spans="1:22" ht="13" customHeight="1" x14ac:dyDescent="0.2">
      <c r="A152" s="22" t="s">
        <v>192</v>
      </c>
      <c r="B152" s="22"/>
      <c r="C152" s="30"/>
      <c r="D152" s="30"/>
      <c r="E152" s="23">
        <v>4.5</v>
      </c>
      <c r="F152" s="23"/>
      <c r="G152" s="70"/>
      <c r="H152" s="70"/>
      <c r="L152" s="18"/>
      <c r="M152" s="18"/>
      <c r="N152"/>
      <c r="Q152" s="18"/>
      <c r="R152" s="18"/>
      <c r="S152" s="18"/>
      <c r="V152" s="15"/>
    </row>
    <row r="153" spans="1:22" ht="13" customHeight="1" x14ac:dyDescent="0.2">
      <c r="A153" s="22" t="s">
        <v>193</v>
      </c>
      <c r="B153" s="22"/>
      <c r="C153" s="30"/>
      <c r="D153" s="30"/>
      <c r="E153" s="23">
        <v>4.5</v>
      </c>
      <c r="F153" s="23"/>
      <c r="G153" s="70"/>
      <c r="H153" s="70"/>
      <c r="L153" s="18"/>
      <c r="M153" s="18"/>
      <c r="N153"/>
      <c r="Q153" s="18"/>
      <c r="R153" s="18"/>
      <c r="S153" s="18"/>
      <c r="V153" s="15"/>
    </row>
    <row r="154" spans="1:22" ht="13" customHeight="1" x14ac:dyDescent="0.2">
      <c r="A154" s="22" t="s">
        <v>194</v>
      </c>
      <c r="B154" s="22"/>
      <c r="C154" s="30"/>
      <c r="D154" s="30"/>
      <c r="E154" s="23">
        <f>41/60</f>
        <v>0.68333333333333335</v>
      </c>
      <c r="F154" s="23"/>
      <c r="G154" s="70"/>
      <c r="H154" s="70"/>
      <c r="L154" s="18"/>
      <c r="M154" s="18"/>
      <c r="N154"/>
      <c r="Q154" s="18"/>
      <c r="R154" s="18"/>
      <c r="S154" s="18"/>
      <c r="V154" s="15"/>
    </row>
    <row r="155" spans="1:22" ht="13" customHeight="1" x14ac:dyDescent="0.2">
      <c r="A155" s="22" t="s">
        <v>195</v>
      </c>
      <c r="B155" s="22"/>
      <c r="C155" s="30"/>
      <c r="D155" s="30"/>
      <c r="E155" s="23">
        <v>40</v>
      </c>
      <c r="F155" s="23"/>
      <c r="G155" s="70"/>
      <c r="H155" s="70"/>
      <c r="L155" s="18"/>
      <c r="M155" s="18"/>
      <c r="N155"/>
      <c r="Q155" s="18"/>
      <c r="R155" s="18"/>
      <c r="S155" s="18"/>
      <c r="V155" s="15"/>
    </row>
    <row r="156" spans="1:22" ht="13" customHeight="1" x14ac:dyDescent="0.2">
      <c r="A156" s="22" t="s">
        <v>196</v>
      </c>
      <c r="B156" s="22">
        <v>21500</v>
      </c>
      <c r="C156" s="30">
        <v>25</v>
      </c>
      <c r="D156" s="30"/>
      <c r="E156" s="23">
        <f>(25+(B156/E155)/C156)/60</f>
        <v>0.77500000000000002</v>
      </c>
      <c r="F156" s="23" t="s">
        <v>197</v>
      </c>
      <c r="G156" s="70"/>
      <c r="H156" s="70"/>
      <c r="L156" s="18"/>
      <c r="M156" s="18"/>
      <c r="N156"/>
      <c r="Q156" s="18"/>
      <c r="R156" s="18"/>
      <c r="S156" s="18"/>
      <c r="V156" s="15"/>
    </row>
    <row r="157" spans="1:22" ht="13" customHeight="1" x14ac:dyDescent="0.2">
      <c r="A157" s="22" t="s">
        <v>198</v>
      </c>
      <c r="B157" s="22">
        <v>7500</v>
      </c>
      <c r="C157" s="30">
        <v>6</v>
      </c>
      <c r="D157" s="30"/>
      <c r="E157" s="23">
        <f>(25+(B157/E155)/C157)/60</f>
        <v>0.9375</v>
      </c>
      <c r="F157" s="23"/>
      <c r="G157" s="70"/>
      <c r="H157" s="70"/>
      <c r="L157" s="18"/>
      <c r="M157" s="18"/>
      <c r="N157"/>
      <c r="Q157" s="18"/>
      <c r="R157" s="18"/>
      <c r="S157" s="18"/>
      <c r="V157" s="15"/>
    </row>
    <row r="158" spans="1:22" ht="13" customHeight="1" x14ac:dyDescent="0.2">
      <c r="A158" s="132" t="s">
        <v>199</v>
      </c>
      <c r="B158" s="143">
        <v>7000</v>
      </c>
      <c r="C158" s="78">
        <v>4</v>
      </c>
      <c r="D158" s="78"/>
      <c r="E158" s="144">
        <f>(25+(B158/E155)/C158)/60</f>
        <v>1.1458333333333333</v>
      </c>
      <c r="F158" s="144"/>
      <c r="G158" s="145"/>
      <c r="H158" s="145"/>
      <c r="L158" s="18"/>
      <c r="M158" s="18"/>
      <c r="N158"/>
      <c r="Q158" s="18"/>
      <c r="R158" s="18"/>
      <c r="S158" s="18"/>
      <c r="V158" s="15"/>
    </row>
    <row r="159" spans="1:22" ht="13" customHeight="1" x14ac:dyDescent="0.2">
      <c r="A159" s="22" t="s">
        <v>196</v>
      </c>
      <c r="B159" s="22">
        <v>14500</v>
      </c>
      <c r="C159" s="30">
        <v>10</v>
      </c>
      <c r="D159" s="30"/>
      <c r="E159" s="23">
        <f>(25+(B159/E155)/C159)/60</f>
        <v>1.0208333333333333</v>
      </c>
      <c r="F159" s="23" t="s">
        <v>200</v>
      </c>
      <c r="G159" s="70"/>
      <c r="H159" s="70"/>
      <c r="L159" s="18"/>
      <c r="M159" s="18"/>
      <c r="N159"/>
      <c r="Q159" s="18"/>
      <c r="R159" s="18"/>
      <c r="S159" s="18"/>
      <c r="V159" s="15"/>
    </row>
    <row r="160" spans="1:22" ht="13" customHeight="1" x14ac:dyDescent="0.2">
      <c r="A160" s="22"/>
      <c r="B160" s="22"/>
      <c r="C160" s="30"/>
      <c r="D160" s="30"/>
      <c r="E160" s="23"/>
      <c r="F160" s="23"/>
      <c r="G160" s="70"/>
      <c r="H160" s="70"/>
      <c r="L160" s="18"/>
      <c r="M160" s="18"/>
      <c r="N160"/>
      <c r="Q160" s="18"/>
      <c r="R160" s="18"/>
      <c r="S160" s="18"/>
      <c r="V160" s="15"/>
    </row>
    <row r="161" spans="1:22" ht="13" customHeight="1" x14ac:dyDescent="0.2">
      <c r="A161" s="146" t="s">
        <v>201</v>
      </c>
      <c r="B161" s="147"/>
      <c r="C161" s="30"/>
      <c r="D161" s="30"/>
      <c r="E161" s="23"/>
      <c r="F161" s="23"/>
      <c r="G161" s="70"/>
      <c r="H161" s="70"/>
      <c r="L161" s="18"/>
      <c r="M161" s="18"/>
      <c r="N161"/>
      <c r="Q161" s="18"/>
      <c r="R161" s="18"/>
      <c r="S161" s="18"/>
      <c r="V161" s="15"/>
    </row>
    <row r="162" spans="1:22" ht="13" customHeight="1" x14ac:dyDescent="0.2">
      <c r="A162" s="148" t="s">
        <v>202</v>
      </c>
      <c r="B162" s="147">
        <v>2990</v>
      </c>
      <c r="C162" s="30"/>
      <c r="D162" s="30"/>
      <c r="E162" s="23"/>
      <c r="F162" s="23"/>
      <c r="G162" s="70"/>
      <c r="H162" s="70"/>
      <c r="L162" s="18"/>
      <c r="M162" s="18"/>
      <c r="N162"/>
      <c r="Q162" s="18"/>
      <c r="R162" s="18"/>
      <c r="S162" s="18"/>
      <c r="V162" s="15"/>
    </row>
    <row r="163" spans="1:22" ht="13" customHeight="1" x14ac:dyDescent="0.2">
      <c r="A163" s="148" t="s">
        <v>203</v>
      </c>
      <c r="B163" s="147">
        <v>3835</v>
      </c>
      <c r="C163" s="30"/>
      <c r="D163" s="30"/>
      <c r="E163" s="23"/>
      <c r="F163" s="23"/>
      <c r="G163" s="70"/>
      <c r="H163" s="70"/>
      <c r="L163" s="18"/>
      <c r="M163" s="18"/>
      <c r="N163"/>
      <c r="Q163" s="18"/>
      <c r="R163" s="18"/>
      <c r="S163" s="18"/>
      <c r="V163" s="15"/>
    </row>
    <row r="164" spans="1:22" ht="13" customHeight="1" x14ac:dyDescent="0.2">
      <c r="A164" s="148" t="s">
        <v>204</v>
      </c>
      <c r="B164" s="147">
        <v>2950</v>
      </c>
      <c r="C164" s="30"/>
      <c r="D164" s="30"/>
      <c r="E164" s="23"/>
      <c r="F164" s="23"/>
      <c r="G164" s="70"/>
      <c r="H164" s="70"/>
      <c r="L164" s="18"/>
      <c r="M164" s="18"/>
      <c r="N164"/>
      <c r="Q164" s="18"/>
      <c r="R164" s="18"/>
      <c r="S164" s="18"/>
      <c r="V164" s="15"/>
    </row>
    <row r="165" spans="1:22" ht="14" customHeight="1" x14ac:dyDescent="0.2">
      <c r="A165" s="148" t="s">
        <v>205</v>
      </c>
      <c r="B165" s="147">
        <v>2950</v>
      </c>
      <c r="C165" s="30"/>
      <c r="D165" s="30"/>
      <c r="E165" s="23"/>
      <c r="F165" s="23"/>
      <c r="G165" s="70"/>
      <c r="H165" s="70"/>
      <c r="L165" s="18"/>
      <c r="M165" s="18"/>
      <c r="N165"/>
      <c r="Q165" s="18"/>
      <c r="R165" s="18"/>
      <c r="S165" s="18"/>
      <c r="V165" s="15"/>
    </row>
    <row r="166" spans="1:22" ht="14" customHeight="1" x14ac:dyDescent="0.2">
      <c r="A166" s="22"/>
      <c r="B166" s="22"/>
      <c r="C166" s="30"/>
      <c r="D166" s="30"/>
      <c r="E166" s="23"/>
      <c r="F166" s="23"/>
      <c r="G166" s="70"/>
      <c r="H166" s="70"/>
      <c r="L166" s="18"/>
      <c r="M166" s="18"/>
      <c r="N166"/>
      <c r="Q166" s="18"/>
      <c r="R166" s="18"/>
      <c r="S166" s="18"/>
      <c r="V166" s="15"/>
    </row>
    <row r="167" spans="1:22" ht="14" customHeight="1" x14ac:dyDescent="0.2">
      <c r="A167" s="22" t="s">
        <v>206</v>
      </c>
      <c r="B167" s="119">
        <v>450</v>
      </c>
      <c r="C167" s="30"/>
      <c r="D167" s="30"/>
      <c r="E167" s="23"/>
      <c r="F167" s="23"/>
      <c r="G167" s="70"/>
      <c r="H167" s="70"/>
      <c r="L167" s="18"/>
      <c r="M167" s="18"/>
      <c r="N167"/>
      <c r="Q167" s="18"/>
      <c r="R167" s="18"/>
      <c r="S167" s="18"/>
      <c r="V167" s="15"/>
    </row>
    <row r="168" spans="1:22" ht="14" customHeight="1" x14ac:dyDescent="0.2">
      <c r="A168" s="22"/>
      <c r="B168" s="119"/>
      <c r="C168" s="30"/>
      <c r="D168" s="30"/>
      <c r="E168" s="23"/>
      <c r="F168" s="23"/>
      <c r="G168" s="70"/>
      <c r="H168" s="70"/>
      <c r="K168" s="204"/>
      <c r="L168" s="18"/>
      <c r="M168" s="18"/>
      <c r="N168"/>
      <c r="Q168" s="18"/>
      <c r="R168" s="18"/>
      <c r="S168" s="18"/>
      <c r="V168" s="15"/>
    </row>
    <row r="169" spans="1:22" ht="14" customHeight="1" x14ac:dyDescent="0.2">
      <c r="A169" s="22" t="s">
        <v>207</v>
      </c>
      <c r="B169" s="119">
        <f>B162</f>
        <v>2990</v>
      </c>
      <c r="C169" s="30"/>
      <c r="D169" s="30"/>
      <c r="E169" s="22"/>
      <c r="F169" s="23"/>
      <c r="G169" s="70"/>
      <c r="H169" s="70"/>
      <c r="K169" s="204"/>
      <c r="L169" s="18"/>
      <c r="M169" s="18"/>
      <c r="N169"/>
      <c r="Q169" s="18"/>
      <c r="R169" s="18"/>
      <c r="S169" s="18"/>
      <c r="V169" s="15"/>
    </row>
    <row r="170" spans="1:22" ht="14" customHeight="1" x14ac:dyDescent="0.2">
      <c r="A170" s="22" t="s">
        <v>208</v>
      </c>
      <c r="B170" s="119">
        <f>B163</f>
        <v>3835</v>
      </c>
      <c r="C170" s="30"/>
      <c r="D170" s="30"/>
      <c r="E170" s="22"/>
      <c r="F170" s="23"/>
      <c r="G170" s="70"/>
      <c r="H170" s="70"/>
      <c r="L170" s="18"/>
      <c r="M170" s="18"/>
      <c r="N170"/>
      <c r="Q170" s="18"/>
      <c r="R170" s="18"/>
      <c r="S170" s="18"/>
      <c r="V170" s="15"/>
    </row>
    <row r="171" spans="1:22" ht="14" customHeight="1" x14ac:dyDescent="0.2">
      <c r="A171" s="22" t="s">
        <v>209</v>
      </c>
      <c r="B171" s="119">
        <f>B164</f>
        <v>2950</v>
      </c>
      <c r="C171" s="30"/>
      <c r="D171" s="30"/>
      <c r="E171" s="22"/>
      <c r="F171" s="23"/>
      <c r="G171" s="70"/>
      <c r="H171" s="70"/>
      <c r="L171" s="18"/>
      <c r="M171" s="18"/>
      <c r="N171"/>
      <c r="Q171" s="18"/>
      <c r="R171" s="18"/>
      <c r="S171" s="18"/>
      <c r="V171" s="15"/>
    </row>
    <row r="172" spans="1:22" ht="14" customHeight="1" x14ac:dyDescent="0.2">
      <c r="A172" s="22" t="s">
        <v>210</v>
      </c>
      <c r="B172" s="119">
        <f>B165</f>
        <v>2950</v>
      </c>
      <c r="C172" s="30"/>
      <c r="D172" s="30"/>
      <c r="E172" s="22"/>
      <c r="F172" s="23"/>
      <c r="G172" s="70"/>
      <c r="H172" s="70"/>
      <c r="L172" s="18"/>
      <c r="M172" s="18"/>
      <c r="N172"/>
      <c r="Q172" s="18"/>
      <c r="R172" s="18"/>
      <c r="S172" s="18"/>
      <c r="V172" s="141"/>
    </row>
    <row r="173" spans="1:22" ht="14" customHeight="1" x14ac:dyDescent="0.2">
      <c r="A173" s="22" t="s">
        <v>211</v>
      </c>
      <c r="B173" s="23">
        <f>(40*45/60 + 20*55/60)/60</f>
        <v>0.80555555555555547</v>
      </c>
      <c r="C173" s="30"/>
      <c r="D173" s="30"/>
      <c r="E173" s="22"/>
      <c r="F173" s="23"/>
      <c r="G173" s="70"/>
      <c r="H173" s="70"/>
      <c r="J173" s="149"/>
      <c r="L173" s="18"/>
      <c r="M173" s="18"/>
      <c r="N173"/>
      <c r="Q173" s="18"/>
      <c r="R173" s="18"/>
      <c r="S173" s="18"/>
    </row>
    <row r="174" spans="1:22" ht="14" customHeight="1" x14ac:dyDescent="0.2">
      <c r="A174" s="22" t="s">
        <v>212</v>
      </c>
      <c r="B174" s="119">
        <v>4720</v>
      </c>
      <c r="C174" s="30"/>
      <c r="D174" s="30"/>
      <c r="E174" s="22"/>
      <c r="G174" s="70"/>
      <c r="H174" s="70"/>
      <c r="L174" s="18"/>
      <c r="M174" s="18"/>
      <c r="N174"/>
      <c r="Q174" s="18"/>
      <c r="R174" s="18"/>
      <c r="S174" s="18"/>
      <c r="T174" s="150"/>
      <c r="U174" s="150"/>
    </row>
    <row r="175" spans="1:22" ht="14" customHeight="1" x14ac:dyDescent="0.2">
      <c r="A175" s="22" t="s">
        <v>213</v>
      </c>
      <c r="B175" s="23">
        <f>0.25+(B167/B173)/3600</f>
        <v>0.40517241379310343</v>
      </c>
      <c r="C175" s="30"/>
      <c r="D175" s="30"/>
      <c r="E175" s="22"/>
      <c r="G175" s="70"/>
      <c r="H175" s="70"/>
      <c r="L175" s="18"/>
      <c r="M175" s="18"/>
      <c r="N175"/>
      <c r="Q175" s="18"/>
      <c r="R175" s="18"/>
      <c r="S175" s="18"/>
    </row>
    <row r="176" spans="1:22" ht="14" customHeight="1" x14ac:dyDescent="0.2">
      <c r="A176" s="22" t="s">
        <v>214</v>
      </c>
      <c r="B176" s="23">
        <f>0.25+(B169/B173)/3600</f>
        <v>1.2810344827586209</v>
      </c>
      <c r="C176" s="30"/>
      <c r="D176" s="30"/>
      <c r="E176" s="22"/>
      <c r="G176" s="70"/>
      <c r="H176" s="70"/>
      <c r="L176" s="18"/>
      <c r="M176" s="18"/>
      <c r="N176"/>
      <c r="Q176" s="18"/>
      <c r="R176" s="18"/>
      <c r="S176" s="18"/>
    </row>
    <row r="177" spans="1:19" ht="14" customHeight="1" x14ac:dyDescent="0.2">
      <c r="A177" s="22" t="s">
        <v>215</v>
      </c>
      <c r="B177" s="23">
        <f>45/60</f>
        <v>0.75</v>
      </c>
      <c r="C177" s="30"/>
      <c r="D177" s="30"/>
      <c r="E177" s="22"/>
      <c r="G177" s="70"/>
      <c r="H177" s="70"/>
      <c r="L177" s="18"/>
      <c r="N177"/>
      <c r="Q177" s="18"/>
      <c r="R177" s="18"/>
      <c r="S177" s="18"/>
    </row>
    <row r="178" spans="1:19" ht="14" customHeight="1" x14ac:dyDescent="0.2">
      <c r="A178" s="22" t="s">
        <v>216</v>
      </c>
      <c r="B178" s="23">
        <f>55/60</f>
        <v>0.91666666666666663</v>
      </c>
      <c r="C178" s="30"/>
      <c r="D178" s="30"/>
      <c r="E178" s="22"/>
      <c r="G178" s="70"/>
      <c r="H178" s="70"/>
      <c r="L178" s="18"/>
      <c r="N178"/>
      <c r="Q178" s="18"/>
      <c r="R178" s="18"/>
      <c r="S178" s="18"/>
    </row>
    <row r="179" spans="1:19" ht="14" customHeight="1" x14ac:dyDescent="0.2">
      <c r="A179" s="22" t="s">
        <v>217</v>
      </c>
      <c r="B179" s="23">
        <f>burn_time+rec_time+(H179/rise_WHOI)/3600</f>
        <v>1.7736227272727274</v>
      </c>
      <c r="C179" s="30"/>
      <c r="D179" s="30"/>
      <c r="E179" s="22"/>
      <c r="G179" s="70" t="s">
        <v>218</v>
      </c>
      <c r="H179" s="70">
        <f>Insts_09_02_20!K35</f>
        <v>3762.9549999999999</v>
      </c>
      <c r="L179" s="18"/>
      <c r="N179"/>
      <c r="Q179" s="18"/>
      <c r="R179" s="18"/>
      <c r="S179" s="18"/>
    </row>
    <row r="180" spans="1:19" ht="14" customHeight="1" x14ac:dyDescent="0.2">
      <c r="A180" s="22" t="s">
        <v>217</v>
      </c>
      <c r="B180" s="23">
        <f>burn_time+rec_time+(H180/rise_WHOI)/3600</f>
        <v>1.7465015151515151</v>
      </c>
      <c r="C180" s="30"/>
      <c r="D180" s="30"/>
      <c r="E180" s="22"/>
      <c r="G180" s="70" t="s">
        <v>219</v>
      </c>
      <c r="H180" s="70">
        <f>Insts_09_02_20!K34</f>
        <v>3673.4549999999999</v>
      </c>
      <c r="L180" s="18"/>
      <c r="N180"/>
      <c r="Q180" s="18"/>
      <c r="R180" s="18"/>
      <c r="S180" s="18"/>
    </row>
    <row r="181" spans="1:19" ht="14" customHeight="1" x14ac:dyDescent="0.2">
      <c r="A181" s="22" t="s">
        <v>220</v>
      </c>
      <c r="B181" s="23">
        <f>burn_time+rec_time+(H181/rise_SIO)/3600</f>
        <v>1.8039271604938274</v>
      </c>
      <c r="C181" s="30"/>
      <c r="D181" s="30"/>
      <c r="E181" s="22"/>
      <c r="G181" s="70" t="s">
        <v>221</v>
      </c>
      <c r="H181" s="70">
        <f>Insts_09_02_20!K36</f>
        <v>3160.6033333333339</v>
      </c>
      <c r="L181" s="18"/>
      <c r="N181"/>
      <c r="Q181" s="18"/>
      <c r="R181" s="18"/>
      <c r="S181" s="18"/>
    </row>
    <row r="182" spans="1:19" ht="14" customHeight="1" x14ac:dyDescent="0.2">
      <c r="A182" s="22" t="s">
        <v>222</v>
      </c>
      <c r="B182" s="23">
        <f>burn_time+rec_time+(H182/rise_WHOI)/3600</f>
        <v>0.9195118585858586</v>
      </c>
      <c r="C182" s="30"/>
      <c r="D182" s="30"/>
      <c r="E182" s="22"/>
      <c r="G182" s="70" t="s">
        <v>223</v>
      </c>
      <c r="H182" s="70">
        <f>Insts_09_02_20!K37</f>
        <v>944.38913333333323</v>
      </c>
      <c r="L182" s="18"/>
      <c r="N182"/>
      <c r="Q182" s="18"/>
      <c r="R182" s="18"/>
      <c r="S182" s="18"/>
    </row>
    <row r="183" spans="1:19" ht="14" customHeight="1" x14ac:dyDescent="0.2">
      <c r="A183" s="22" t="s">
        <v>224</v>
      </c>
      <c r="B183" s="23">
        <f>burn_time+rec_time+(H183/rise_WHOI)/3600</f>
        <v>0.78462645454545454</v>
      </c>
      <c r="C183" s="30"/>
      <c r="D183" s="30"/>
      <c r="E183" s="22"/>
      <c r="G183" s="70" t="s">
        <v>225</v>
      </c>
      <c r="H183" s="70">
        <f>Insts_09_02_20!K47</f>
        <v>499.26729999999998</v>
      </c>
      <c r="L183" s="18"/>
      <c r="N183"/>
      <c r="Q183" s="18"/>
      <c r="R183" s="18"/>
      <c r="S183" s="18"/>
    </row>
    <row r="184" spans="1:19" ht="14" customHeight="1" x14ac:dyDescent="0.2">
      <c r="A184" s="22" t="s">
        <v>226</v>
      </c>
      <c r="B184" s="23">
        <f>burn_time+rec_time+(H184/rise_SIO)/3600</f>
        <v>2.11962962962963</v>
      </c>
      <c r="C184" s="30"/>
      <c r="D184" s="30"/>
      <c r="E184" s="22"/>
      <c r="G184" s="70" t="s">
        <v>227</v>
      </c>
      <c r="H184" s="70">
        <f>Insts_09_02_20!K48</f>
        <v>4013</v>
      </c>
      <c r="L184" s="18"/>
      <c r="N184"/>
      <c r="Q184" s="18"/>
      <c r="R184" s="18"/>
      <c r="S184" s="18"/>
    </row>
    <row r="185" spans="1:19" ht="13" customHeight="1" x14ac:dyDescent="0.2">
      <c r="A185" s="22" t="s">
        <v>228</v>
      </c>
      <c r="B185" s="23">
        <f>burn_time+rec_time+(H185/rise_WHOI)/3600</f>
        <v>2.049839393939394</v>
      </c>
      <c r="C185" s="30"/>
      <c r="D185" s="30"/>
      <c r="E185" s="22"/>
      <c r="G185" s="70" t="s">
        <v>229</v>
      </c>
      <c r="H185" s="70">
        <f>Insts_09_02_20!K49</f>
        <v>4674.47</v>
      </c>
      <c r="L185" s="18"/>
      <c r="N185"/>
      <c r="Q185" s="18"/>
      <c r="R185" s="18"/>
      <c r="S185" s="18"/>
    </row>
    <row r="186" spans="1:19" ht="13" customHeight="1" x14ac:dyDescent="0.2">
      <c r="A186" s="22" t="s">
        <v>230</v>
      </c>
      <c r="B186" s="23">
        <f>burn_time+rec_time+(H186/rise_SIO)/3600</f>
        <v>2.5592592592592593</v>
      </c>
      <c r="C186" s="30"/>
      <c r="D186" s="30"/>
      <c r="E186" s="22"/>
      <c r="G186" s="70" t="s">
        <v>231</v>
      </c>
      <c r="H186" s="70">
        <v>5200</v>
      </c>
      <c r="L186" s="18"/>
      <c r="N186"/>
      <c r="Q186" s="18"/>
      <c r="R186" s="18"/>
      <c r="S186" s="18"/>
    </row>
    <row r="187" spans="1:19" ht="13" customHeight="1" x14ac:dyDescent="0.2">
      <c r="A187" s="22" t="s">
        <v>232</v>
      </c>
      <c r="B187" s="23">
        <f>burn_time+rec_time+(H187/rise_WHOI)/3600</f>
        <v>2.0359666666666665</v>
      </c>
      <c r="C187" s="30"/>
      <c r="D187" s="30"/>
      <c r="E187" s="22"/>
      <c r="G187" s="151" t="s">
        <v>233</v>
      </c>
      <c r="H187" s="151">
        <f>-1*Insts_09_02_20!H49</f>
        <v>4628.6899999999996</v>
      </c>
      <c r="L187" s="18"/>
      <c r="N187"/>
      <c r="Q187" s="18"/>
      <c r="R187" s="18"/>
      <c r="S187" s="18"/>
    </row>
    <row r="188" spans="1:19" ht="13" customHeight="1" x14ac:dyDescent="0.2">
      <c r="A188" s="22" t="s">
        <v>234</v>
      </c>
      <c r="B188" s="23">
        <f>burn_time+rec_time+(H188/rise_SIO)/3600</f>
        <v>2.3622962962962961</v>
      </c>
      <c r="C188" s="30"/>
      <c r="D188" s="30"/>
      <c r="E188" s="22"/>
      <c r="G188" s="70" t="s">
        <v>235</v>
      </c>
      <c r="H188" s="70">
        <f>-1*Insts_09_02_20!H48</f>
        <v>4668.2</v>
      </c>
      <c r="L188" s="18"/>
      <c r="N188"/>
      <c r="Q188" s="18"/>
      <c r="R188" s="18"/>
      <c r="S188" s="18"/>
    </row>
    <row r="189" spans="1:19" ht="13" customHeight="1" x14ac:dyDescent="0.2">
      <c r="A189" s="22" t="s">
        <v>236</v>
      </c>
      <c r="B189" s="23">
        <f>burn_time+rec_time+(H189/rise_SIO)/3600</f>
        <v>2.275185185185185</v>
      </c>
      <c r="C189" s="30"/>
      <c r="D189" s="30"/>
      <c r="E189" s="22"/>
      <c r="G189" s="70" t="s">
        <v>237</v>
      </c>
      <c r="H189" s="70">
        <f>-1*Insts_09_02_20!H47</f>
        <v>4433</v>
      </c>
      <c r="L189" s="18"/>
      <c r="N189"/>
      <c r="Q189" s="18"/>
      <c r="R189" s="18"/>
      <c r="S189" s="18"/>
    </row>
    <row r="190" spans="1:19" ht="13" customHeight="1" x14ac:dyDescent="0.2">
      <c r="A190" s="22" t="s">
        <v>238</v>
      </c>
      <c r="B190" s="23">
        <f>burn_time+rec_time+(H190/rise_SIO)/3600</f>
        <v>1.7214074074074075</v>
      </c>
      <c r="C190" s="30"/>
      <c r="D190" s="30"/>
      <c r="E190" s="22"/>
      <c r="G190" s="70" t="s">
        <v>239</v>
      </c>
      <c r="H190" s="70">
        <f>-1*Insts_09_02_20!H46</f>
        <v>2937.8</v>
      </c>
      <c r="L190" s="18"/>
      <c r="N190"/>
      <c r="Q190" s="18"/>
      <c r="R190" s="18"/>
      <c r="S190" s="18"/>
    </row>
    <row r="191" spans="1:19" ht="13" customHeight="1" x14ac:dyDescent="0.2">
      <c r="A191" s="22" t="s">
        <v>240</v>
      </c>
      <c r="B191" s="23">
        <f>burn_time+rec_time+(H191/rise_WHOI)/3600</f>
        <v>1.0116636363636364</v>
      </c>
      <c r="C191" s="30"/>
      <c r="D191" s="30"/>
      <c r="E191" s="22"/>
      <c r="G191" s="70" t="s">
        <v>241</v>
      </c>
      <c r="H191" s="70">
        <f>-1*Insts_09_02_20!H45</f>
        <v>1248.49</v>
      </c>
      <c r="L191" s="18"/>
      <c r="N191"/>
      <c r="Q191" s="18"/>
      <c r="R191" s="18"/>
      <c r="S191" s="18"/>
    </row>
    <row r="192" spans="1:19" ht="13" customHeight="1" x14ac:dyDescent="0.2">
      <c r="A192" s="22" t="s">
        <v>242</v>
      </c>
      <c r="B192" s="23">
        <f>burn_time+rec_time+(H192/rise_WHOI)/3600</f>
        <v>0.68619212121212114</v>
      </c>
      <c r="C192" s="30"/>
      <c r="D192" s="30"/>
      <c r="E192" s="22"/>
      <c r="G192" s="70" t="s">
        <v>243</v>
      </c>
      <c r="H192" s="70">
        <f>-1*Insts_09_02_20!H44</f>
        <v>174.434</v>
      </c>
      <c r="L192" s="18"/>
      <c r="N192"/>
      <c r="Q192" s="18"/>
      <c r="R192" s="18"/>
      <c r="S192" s="18"/>
    </row>
    <row r="193" spans="1:19" ht="13" customHeight="1" x14ac:dyDescent="0.2">
      <c r="A193" s="22" t="s">
        <v>244</v>
      </c>
      <c r="B193" s="23">
        <f>burn_time+rec_time+(H193/rise_WHOI)/3600</f>
        <v>0.65602360606060606</v>
      </c>
      <c r="C193" s="30"/>
      <c r="D193" s="30"/>
      <c r="E193" s="22"/>
      <c r="G193" s="70" t="s">
        <v>245</v>
      </c>
      <c r="H193" s="70">
        <f>-1*Insts_09_02_20!H43</f>
        <v>74.877899999999997</v>
      </c>
      <c r="L193" s="18"/>
      <c r="N193"/>
      <c r="Q193" s="18"/>
      <c r="R193" s="18"/>
      <c r="S193" s="18"/>
    </row>
    <row r="194" spans="1:19" ht="13" customHeight="1" x14ac:dyDescent="0.2">
      <c r="A194" s="22"/>
      <c r="B194" s="23"/>
      <c r="C194" s="30"/>
      <c r="D194" s="30"/>
      <c r="E194" s="22"/>
      <c r="G194" s="70"/>
      <c r="H194" s="70"/>
      <c r="L194" s="18"/>
      <c r="N194"/>
      <c r="Q194" s="18"/>
      <c r="R194" s="18"/>
      <c r="S194" s="18"/>
    </row>
    <row r="195" spans="1:19" ht="13" customHeight="1" x14ac:dyDescent="0.2">
      <c r="A195" s="22" t="s">
        <v>246</v>
      </c>
      <c r="B195" s="23" t="e">
        <f>burn_time+rec_time+(H195/rise_WHOI)/3600</f>
        <v>#REF!</v>
      </c>
      <c r="C195" s="30"/>
      <c r="D195" s="30"/>
      <c r="E195" s="22"/>
      <c r="G195" s="152" t="s">
        <v>247</v>
      </c>
      <c r="H195" s="152" t="e">
        <f>#REF!</f>
        <v>#REF!</v>
      </c>
      <c r="L195" s="18"/>
      <c r="N195"/>
      <c r="Q195" s="18"/>
      <c r="R195" s="18"/>
      <c r="S195" s="18"/>
    </row>
    <row r="196" spans="1:19" ht="13" customHeight="1" x14ac:dyDescent="0.2">
      <c r="A196" s="22" t="s">
        <v>248</v>
      </c>
      <c r="B196" s="23" t="e">
        <f>burn_time+rec_time+(H196/rise_SIO)/3600</f>
        <v>#REF!</v>
      </c>
      <c r="C196" s="30"/>
      <c r="D196" s="30"/>
      <c r="E196" s="22"/>
      <c r="G196" s="70" t="s">
        <v>249</v>
      </c>
      <c r="H196" s="70" t="e">
        <f>#REF!</f>
        <v>#REF!</v>
      </c>
      <c r="L196" s="18"/>
      <c r="N196"/>
      <c r="Q196" s="18"/>
      <c r="R196" s="18"/>
      <c r="S196" s="18"/>
    </row>
    <row r="197" spans="1:19" ht="13" customHeight="1" x14ac:dyDescent="0.2">
      <c r="A197" s="22" t="s">
        <v>250</v>
      </c>
      <c r="B197" s="23" t="e">
        <f>burn_time+rec_time+(H197/rise_WHOI)/3600</f>
        <v>#REF!</v>
      </c>
      <c r="C197" s="30"/>
      <c r="D197" s="30"/>
      <c r="E197" s="22"/>
      <c r="G197" s="70" t="s">
        <v>251</v>
      </c>
      <c r="H197" s="70" t="e">
        <f>#REF!</f>
        <v>#REF!</v>
      </c>
      <c r="L197" s="18"/>
      <c r="N197"/>
      <c r="Q197" s="18"/>
      <c r="R197" s="18"/>
      <c r="S197" s="18"/>
    </row>
    <row r="198" spans="1:19" ht="13" customHeight="1" x14ac:dyDescent="0.2">
      <c r="A198" s="22" t="s">
        <v>252</v>
      </c>
      <c r="B198" s="23" t="e">
        <f>burn_time+rec_time+(H198/rise_WHOI)/3600</f>
        <v>#REF!</v>
      </c>
      <c r="C198" s="30"/>
      <c r="D198" s="30"/>
      <c r="E198" s="22"/>
      <c r="G198" s="70" t="s">
        <v>253</v>
      </c>
      <c r="H198" s="70" t="e">
        <f>#REF!</f>
        <v>#REF!</v>
      </c>
      <c r="L198" s="18"/>
    </row>
    <row r="199" spans="1:19" ht="13" customHeight="1" x14ac:dyDescent="0.2">
      <c r="A199" s="22" t="s">
        <v>254</v>
      </c>
      <c r="B199" s="23" t="e">
        <f>burn_time+rec_time+(H199/rise_SIO)/3600</f>
        <v>#REF!</v>
      </c>
      <c r="C199" s="30"/>
      <c r="D199" s="30"/>
      <c r="E199" s="22"/>
      <c r="G199" s="70" t="s">
        <v>255</v>
      </c>
      <c r="H199" s="70" t="e">
        <f>#REF!</f>
        <v>#REF!</v>
      </c>
      <c r="L199" s="18"/>
    </row>
    <row r="200" spans="1:19" ht="13" customHeight="1" x14ac:dyDescent="0.2">
      <c r="A200" s="22" t="s">
        <v>256</v>
      </c>
      <c r="B200" s="23" t="e">
        <f>burn_time+rec_time+(H200/rise_WHOI)/3600</f>
        <v>#REF!</v>
      </c>
      <c r="C200" s="30"/>
      <c r="D200" s="30"/>
      <c r="E200" s="22"/>
      <c r="G200" s="70" t="s">
        <v>257</v>
      </c>
      <c r="H200" s="70" t="e">
        <f>-1*#REF!</f>
        <v>#REF!</v>
      </c>
      <c r="L200" s="18"/>
    </row>
    <row r="201" spans="1:19" x14ac:dyDescent="0.2">
      <c r="A201" s="22" t="s">
        <v>258</v>
      </c>
      <c r="B201" s="23" t="e">
        <f>burn_time+rec_time+(H201/rise_WHOI)/3600</f>
        <v>#REF!</v>
      </c>
      <c r="C201" s="30"/>
      <c r="D201" s="30"/>
      <c r="E201" s="22"/>
      <c r="G201" s="70" t="s">
        <v>259</v>
      </c>
      <c r="H201" s="70" t="e">
        <f>#REF!</f>
        <v>#REF!</v>
      </c>
      <c r="L201" s="18"/>
    </row>
    <row r="202" spans="1:19" x14ac:dyDescent="0.2">
      <c r="A202" s="22" t="s">
        <v>260</v>
      </c>
      <c r="B202" s="23">
        <f>0.25+(B170/B173)/3600</f>
        <v>1.5724137931034483</v>
      </c>
      <c r="C202" s="30"/>
      <c r="D202" s="30"/>
      <c r="E202" s="22"/>
      <c r="G202" s="70"/>
      <c r="H202" s="70"/>
      <c r="L202" s="18"/>
    </row>
    <row r="203" spans="1:19" x14ac:dyDescent="0.2">
      <c r="A203" s="22" t="s">
        <v>261</v>
      </c>
      <c r="B203" s="23">
        <f>0.25+(B171/B173)/3600</f>
        <v>1.267241379310345</v>
      </c>
      <c r="C203" s="30"/>
      <c r="D203" s="30"/>
      <c r="E203" s="22"/>
      <c r="G203" s="70"/>
      <c r="H203" s="70"/>
    </row>
    <row r="204" spans="1:19" x14ac:dyDescent="0.2">
      <c r="A204" s="22" t="s">
        <v>262</v>
      </c>
      <c r="B204" s="23">
        <f>0.25+(B172/B173)/3600</f>
        <v>1.267241379310345</v>
      </c>
      <c r="C204" s="30"/>
      <c r="D204" s="30"/>
      <c r="E204" s="22"/>
      <c r="G204" s="70"/>
      <c r="H204" s="70"/>
    </row>
    <row r="205" spans="1:19" x14ac:dyDescent="0.2">
      <c r="A205" s="22" t="s">
        <v>263</v>
      </c>
      <c r="B205" s="23">
        <f>20/60</f>
        <v>0.33333333333333331</v>
      </c>
      <c r="C205" s="30"/>
      <c r="D205" s="30"/>
      <c r="E205" s="22"/>
      <c r="G205" s="70"/>
      <c r="H205" s="70"/>
    </row>
    <row r="206" spans="1:19" x14ac:dyDescent="0.2">
      <c r="A206" s="22" t="s">
        <v>264</v>
      </c>
      <c r="B206" s="23">
        <v>0.3</v>
      </c>
      <c r="C206" s="30"/>
      <c r="D206" s="30"/>
      <c r="E206" s="22"/>
      <c r="F206" s="23"/>
      <c r="G206" s="70"/>
      <c r="H206" s="70"/>
    </row>
    <row r="212" spans="1:11" x14ac:dyDescent="0.2">
      <c r="A212" s="153" t="s">
        <v>265</v>
      </c>
      <c r="B212" s="67"/>
      <c r="C212" s="60" t="s">
        <v>266</v>
      </c>
      <c r="D212" s="60" t="s">
        <v>267</v>
      </c>
      <c r="E212" s="60" t="s">
        <v>268</v>
      </c>
      <c r="F212" s="151" t="s">
        <v>269</v>
      </c>
      <c r="G212" s="151"/>
      <c r="H212" s="154" t="s">
        <v>270</v>
      </c>
    </row>
    <row r="213" spans="1:11" x14ac:dyDescent="0.2">
      <c r="A213" s="155" t="s">
        <v>271</v>
      </c>
      <c r="B213" s="132"/>
      <c r="C213" s="80">
        <f>X</f>
        <v>160</v>
      </c>
      <c r="D213" s="79">
        <f>Vw</f>
        <v>1.5</v>
      </c>
      <c r="E213" s="79">
        <f>Vm</f>
        <v>8</v>
      </c>
      <c r="F213" s="156">
        <f>(15+C213*((1/D213) - (1/E213)))/60</f>
        <v>1.6944444444444442</v>
      </c>
      <c r="G213" s="156"/>
      <c r="H213" s="157">
        <f>(F213/60)*obh_shoot*km_per_nm</f>
        <v>0.23535833333333334</v>
      </c>
    </row>
    <row r="214" spans="1:11" x14ac:dyDescent="0.2">
      <c r="A214" s="41"/>
      <c r="B214" s="22"/>
      <c r="C214" s="31"/>
      <c r="D214" s="31"/>
      <c r="E214" s="31"/>
      <c r="F214" s="158"/>
      <c r="G214" s="158"/>
      <c r="H214" s="159"/>
    </row>
    <row r="215" spans="1:11" x14ac:dyDescent="0.2">
      <c r="A215" s="153"/>
      <c r="B215" s="67"/>
      <c r="C215" s="68"/>
      <c r="D215" s="68"/>
      <c r="E215" s="68"/>
      <c r="F215" s="160" t="s">
        <v>272</v>
      </c>
      <c r="G215" s="160"/>
      <c r="H215" s="161" t="s">
        <v>273</v>
      </c>
    </row>
    <row r="216" spans="1:11" x14ac:dyDescent="0.2">
      <c r="A216" s="155" t="s">
        <v>274</v>
      </c>
      <c r="B216" s="132"/>
      <c r="C216" s="79"/>
      <c r="D216" s="79"/>
      <c r="E216" s="79"/>
      <c r="F216" s="80">
        <f>H216/(mcs_shoot*km_per_nm*1000/3600)</f>
        <v>21.598272138228943</v>
      </c>
      <c r="G216" s="156"/>
      <c r="H216" s="157">
        <v>50</v>
      </c>
    </row>
    <row r="217" spans="1:11" x14ac:dyDescent="0.2">
      <c r="A217" s="22"/>
      <c r="B217" s="22"/>
      <c r="C217" s="30"/>
      <c r="D217" s="30"/>
      <c r="E217" s="22"/>
      <c r="F217" s="23"/>
      <c r="G217" s="70"/>
      <c r="H217" s="70"/>
    </row>
    <row r="218" spans="1:11" x14ac:dyDescent="0.2">
      <c r="A218" s="162"/>
      <c r="B218" s="163"/>
      <c r="C218" s="60" t="s">
        <v>266</v>
      </c>
      <c r="D218" s="60" t="s">
        <v>275</v>
      </c>
      <c r="E218" s="60" t="s">
        <v>276</v>
      </c>
      <c r="F218" s="151" t="s">
        <v>277</v>
      </c>
      <c r="G218" s="151" t="s">
        <v>278</v>
      </c>
      <c r="H218" s="154" t="s">
        <v>279</v>
      </c>
    </row>
    <row r="219" spans="1:11" x14ac:dyDescent="0.2">
      <c r="A219" s="155" t="s">
        <v>280</v>
      </c>
      <c r="B219" s="164"/>
      <c r="C219" s="78">
        <v>1900</v>
      </c>
      <c r="D219" s="145">
        <v>0.05</v>
      </c>
      <c r="E219" s="78">
        <v>480</v>
      </c>
      <c r="F219" s="145">
        <v>15</v>
      </c>
      <c r="G219" s="165">
        <v>2E-3</v>
      </c>
      <c r="H219" s="166">
        <f>(C219/D219)*E219*(F219/G219)*4/1000000000</f>
        <v>547.20000000000005</v>
      </c>
      <c r="K219" s="233"/>
    </row>
    <row r="220" spans="1:11" x14ac:dyDescent="0.2">
      <c r="H220" s="6"/>
      <c r="K220" s="233"/>
    </row>
    <row r="221" spans="1:11" x14ac:dyDescent="0.2">
      <c r="A221" s="153" t="s">
        <v>265</v>
      </c>
      <c r="B221" s="60" t="s">
        <v>266</v>
      </c>
      <c r="C221" s="60" t="s">
        <v>281</v>
      </c>
      <c r="D221" s="60" t="s">
        <v>282</v>
      </c>
      <c r="E221" s="60" t="s">
        <v>267</v>
      </c>
      <c r="F221" s="60" t="s">
        <v>268</v>
      </c>
      <c r="G221" s="151" t="s">
        <v>283</v>
      </c>
      <c r="H221" s="151" t="s">
        <v>284</v>
      </c>
      <c r="I221" s="151" t="s">
        <v>269</v>
      </c>
      <c r="J221" s="167" t="s">
        <v>270</v>
      </c>
      <c r="K221" s="233"/>
    </row>
    <row r="222" spans="1:11" x14ac:dyDescent="0.2">
      <c r="A222" s="155" t="s">
        <v>285</v>
      </c>
      <c r="B222" s="79">
        <v>160</v>
      </c>
      <c r="C222" s="79">
        <v>25</v>
      </c>
      <c r="D222" s="80">
        <v>20</v>
      </c>
      <c r="E222" s="79">
        <v>1.5</v>
      </c>
      <c r="F222" s="156">
        <v>8</v>
      </c>
      <c r="G222" s="145">
        <f>1/E222</f>
        <v>0.66666666666666663</v>
      </c>
      <c r="H222" s="145">
        <f>1/F222</f>
        <v>0.125</v>
      </c>
      <c r="I222" s="156">
        <f>(15+(X*Uw-TR-X*Um+Um*XR)/(Um*km_per_nm*obh_shoot/3600+1))/60</f>
        <v>1.4128579424273544</v>
      </c>
      <c r="J222" s="168">
        <f>(I222/60)*obh_shoot*km_per_nm</f>
        <v>0.19624596820315954</v>
      </c>
      <c r="K222" s="233"/>
    </row>
  </sheetData>
  <mergeCells count="2">
    <mergeCell ref="A2:U2"/>
    <mergeCell ref="H4:I4"/>
  </mergeCells>
  <printOptions gridLines="1"/>
  <pageMargins left="0.7" right="0.7" top="0.75" bottom="0.75" header="0.3" footer="0.3"/>
  <pageSetup firstPageNumber="0" orientation="landscape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80"/>
  <sheetViews>
    <sheetView topLeftCell="A28" workbookViewId="0">
      <selection activeCell="E51" sqref="E51"/>
    </sheetView>
  </sheetViews>
  <sheetFormatPr baseColWidth="10" defaultColWidth="8.7109375" defaultRowHeight="14" x14ac:dyDescent="0.2"/>
  <cols>
    <col min="1" max="1" width="10.5703125" customWidth="1"/>
    <col min="2" max="2" width="18.7109375" customWidth="1"/>
    <col min="3" max="3" width="13.5703125" customWidth="1"/>
    <col min="4" max="4" width="15.140625" style="170" customWidth="1"/>
    <col min="5" max="5" width="14.140625" style="170" customWidth="1"/>
    <col min="6" max="6" width="6.42578125" style="18" customWidth="1"/>
    <col min="7" max="7" width="7.140625" style="18" customWidth="1"/>
    <col min="8" max="8" width="20.7109375" customWidth="1"/>
    <col min="9" max="9" width="4.7109375" customWidth="1"/>
    <col min="10" max="10" width="10.7109375" customWidth="1"/>
    <col min="11" max="11" width="19.42578125" style="171" customWidth="1"/>
    <col min="12" max="1025" width="10.5703125" customWidth="1"/>
  </cols>
  <sheetData>
    <row r="2" spans="2:8" ht="16" x14ac:dyDescent="0.2">
      <c r="B2" s="172" t="s">
        <v>286</v>
      </c>
      <c r="C2" s="172" t="s">
        <v>287</v>
      </c>
      <c r="D2" s="173" t="s">
        <v>266</v>
      </c>
      <c r="E2" s="172" t="s">
        <v>7</v>
      </c>
      <c r="F2" s="172" t="s">
        <v>288</v>
      </c>
      <c r="G2" s="172" t="s">
        <v>289</v>
      </c>
      <c r="H2" s="172" t="s">
        <v>290</v>
      </c>
    </row>
    <row r="3" spans="2:8" x14ac:dyDescent="0.2">
      <c r="B3" s="174">
        <v>-172.464</v>
      </c>
      <c r="C3" s="175">
        <v>52.450899999999997</v>
      </c>
      <c r="D3" s="176">
        <v>0</v>
      </c>
      <c r="E3" s="177">
        <v>1</v>
      </c>
      <c r="F3" s="178">
        <v>2</v>
      </c>
      <c r="G3" s="178" t="s">
        <v>291</v>
      </c>
      <c r="H3" s="179">
        <v>-204.66900000000001</v>
      </c>
    </row>
    <row r="4" spans="2:8" x14ac:dyDescent="0.2">
      <c r="B4" s="180">
        <v>-172.68199999999999</v>
      </c>
      <c r="C4" s="181">
        <v>52.429900000000004</v>
      </c>
      <c r="D4" s="182">
        <v>15</v>
      </c>
      <c r="E4" s="170">
        <v>2</v>
      </c>
      <c r="F4" s="18">
        <v>2</v>
      </c>
      <c r="G4" s="18" t="s">
        <v>291</v>
      </c>
      <c r="H4" s="183">
        <v>-540.91</v>
      </c>
    </row>
    <row r="5" spans="2:8" x14ac:dyDescent="0.2">
      <c r="B5" s="180">
        <v>-172.9</v>
      </c>
      <c r="C5" s="181">
        <v>52.4086</v>
      </c>
      <c r="D5" s="182">
        <v>30</v>
      </c>
      <c r="E5" s="170">
        <v>3</v>
      </c>
      <c r="F5" s="18">
        <v>1</v>
      </c>
      <c r="G5" s="18" t="s">
        <v>291</v>
      </c>
      <c r="H5" s="183">
        <v>-991.43299999999999</v>
      </c>
    </row>
    <row r="6" spans="2:8" x14ac:dyDescent="0.2">
      <c r="B6" s="180">
        <v>-173.11699999999999</v>
      </c>
      <c r="C6" s="181">
        <v>52.386800000000001</v>
      </c>
      <c r="D6" s="182">
        <v>45</v>
      </c>
      <c r="E6" s="170">
        <v>4</v>
      </c>
      <c r="F6" s="18">
        <v>1</v>
      </c>
      <c r="G6" s="18" t="s">
        <v>291</v>
      </c>
      <c r="H6" s="183">
        <v>-873.85500000000002</v>
      </c>
    </row>
    <row r="7" spans="2:8" x14ac:dyDescent="0.2">
      <c r="B7" s="180">
        <v>-173.31979999999999</v>
      </c>
      <c r="C7" s="181">
        <v>52.366100000000003</v>
      </c>
      <c r="D7" s="182">
        <v>59</v>
      </c>
      <c r="E7" s="170">
        <v>5</v>
      </c>
      <c r="F7" s="18">
        <v>1</v>
      </c>
      <c r="G7" s="18" t="s">
        <v>291</v>
      </c>
      <c r="H7" s="183">
        <v>-672.02080000000001</v>
      </c>
    </row>
    <row r="8" spans="2:8" x14ac:dyDescent="0.2">
      <c r="B8" s="180">
        <v>-173.49350000000001</v>
      </c>
      <c r="C8" s="181">
        <v>52.348100000000002</v>
      </c>
      <c r="D8" s="182">
        <v>71</v>
      </c>
      <c r="E8" s="170">
        <v>6</v>
      </c>
      <c r="F8" s="18">
        <v>1</v>
      </c>
      <c r="G8" s="18" t="s">
        <v>291</v>
      </c>
      <c r="H8" s="183">
        <v>-615.52210000000002</v>
      </c>
    </row>
    <row r="9" spans="2:8" x14ac:dyDescent="0.2">
      <c r="B9" s="180">
        <v>-173.667</v>
      </c>
      <c r="C9" s="181">
        <v>52.329900000000002</v>
      </c>
      <c r="D9" s="182">
        <v>83</v>
      </c>
      <c r="E9" s="170">
        <v>7</v>
      </c>
      <c r="F9" s="18">
        <v>1</v>
      </c>
      <c r="G9" s="18" t="s">
        <v>291</v>
      </c>
      <c r="H9" s="183">
        <v>-359.22309999999999</v>
      </c>
    </row>
    <row r="10" spans="2:8" x14ac:dyDescent="0.2">
      <c r="B10" s="180">
        <v>-173.84039999999999</v>
      </c>
      <c r="C10" s="181">
        <v>52.311300000000003</v>
      </c>
      <c r="D10" s="182">
        <v>95</v>
      </c>
      <c r="E10" s="170">
        <v>8</v>
      </c>
      <c r="F10" s="18">
        <v>1</v>
      </c>
      <c r="G10" s="18" t="s">
        <v>291</v>
      </c>
      <c r="H10" s="183">
        <v>-109.73050000000001</v>
      </c>
    </row>
    <row r="11" spans="2:8" x14ac:dyDescent="0.2">
      <c r="B11" s="180">
        <v>-174.56780000000001</v>
      </c>
      <c r="C11" s="181">
        <v>52.245199999999997</v>
      </c>
      <c r="D11" s="182">
        <v>143</v>
      </c>
      <c r="E11" s="170">
        <v>9</v>
      </c>
      <c r="F11" s="18">
        <v>2</v>
      </c>
      <c r="G11" s="18" t="s">
        <v>291</v>
      </c>
      <c r="H11" s="183">
        <v>-99.256299999999996</v>
      </c>
    </row>
    <row r="12" spans="2:8" x14ac:dyDescent="0.2">
      <c r="B12" s="180">
        <v>-174.63300000000001</v>
      </c>
      <c r="C12" s="181">
        <v>52.223300000000002</v>
      </c>
      <c r="D12" s="182">
        <v>150</v>
      </c>
      <c r="E12" s="170">
        <v>10</v>
      </c>
      <c r="F12" s="18">
        <v>2</v>
      </c>
      <c r="G12" s="18" t="s">
        <v>291</v>
      </c>
      <c r="H12" s="183">
        <v>-106.426</v>
      </c>
    </row>
    <row r="13" spans="2:8" x14ac:dyDescent="0.2">
      <c r="B13" s="180">
        <v>-174.74799999999999</v>
      </c>
      <c r="C13" s="181">
        <v>52.21</v>
      </c>
      <c r="D13" s="182">
        <v>158</v>
      </c>
      <c r="E13" s="170">
        <v>11</v>
      </c>
      <c r="F13" s="18">
        <v>4</v>
      </c>
      <c r="G13" s="18" t="s">
        <v>291</v>
      </c>
      <c r="H13" s="183">
        <v>-122.35</v>
      </c>
    </row>
    <row r="14" spans="2:8" x14ac:dyDescent="0.2">
      <c r="B14" s="180">
        <v>-174.90629999999999</v>
      </c>
      <c r="C14" s="181">
        <v>52.191600000000001</v>
      </c>
      <c r="D14" s="182">
        <v>169</v>
      </c>
      <c r="E14" s="170">
        <v>12</v>
      </c>
      <c r="F14" s="18">
        <v>1</v>
      </c>
      <c r="G14" s="18" t="s">
        <v>291</v>
      </c>
      <c r="H14" s="183">
        <v>-140.89500000000001</v>
      </c>
    </row>
    <row r="15" spans="2:8" x14ac:dyDescent="0.2">
      <c r="B15" s="180">
        <v>-175.0642</v>
      </c>
      <c r="C15" s="181">
        <v>52.173000000000002</v>
      </c>
      <c r="D15" s="182">
        <v>180</v>
      </c>
      <c r="E15" s="170">
        <v>13</v>
      </c>
      <c r="F15" s="18">
        <v>1</v>
      </c>
      <c r="G15" s="18" t="s">
        <v>291</v>
      </c>
      <c r="H15" s="183">
        <v>-281.69</v>
      </c>
    </row>
    <row r="16" spans="2:8" x14ac:dyDescent="0.2">
      <c r="B16" s="180">
        <v>-175.22200000000001</v>
      </c>
      <c r="C16" s="181">
        <v>52.1541</v>
      </c>
      <c r="D16" s="182">
        <v>191</v>
      </c>
      <c r="E16" s="170">
        <v>14</v>
      </c>
      <c r="F16" s="18">
        <v>1</v>
      </c>
      <c r="G16" s="18" t="s">
        <v>291</v>
      </c>
      <c r="H16" s="183">
        <v>-211.256</v>
      </c>
    </row>
    <row r="17" spans="2:10" x14ac:dyDescent="0.2">
      <c r="B17" s="180">
        <v>-175.37970000000001</v>
      </c>
      <c r="C17" s="181">
        <v>52.135100000000001</v>
      </c>
      <c r="D17" s="182">
        <v>202</v>
      </c>
      <c r="E17" s="170">
        <v>15</v>
      </c>
      <c r="F17" s="18">
        <v>1</v>
      </c>
      <c r="G17" s="18" t="s">
        <v>291</v>
      </c>
      <c r="H17" s="183">
        <v>-114.91200000000001</v>
      </c>
      <c r="J17" s="190"/>
    </row>
    <row r="18" spans="2:10" x14ac:dyDescent="0.2">
      <c r="B18" s="180">
        <v>-175.58</v>
      </c>
      <c r="C18" s="181">
        <v>52.110599999999998</v>
      </c>
      <c r="D18" s="182">
        <v>216</v>
      </c>
      <c r="E18" s="170">
        <v>16</v>
      </c>
      <c r="F18" s="18">
        <v>1</v>
      </c>
      <c r="G18" s="18" t="s">
        <v>291</v>
      </c>
      <c r="H18" s="183">
        <v>-118.47199999999999</v>
      </c>
    </row>
    <row r="19" spans="2:10" x14ac:dyDescent="0.2">
      <c r="B19" s="180">
        <v>-175.709</v>
      </c>
      <c r="C19" s="181">
        <v>52.0946</v>
      </c>
      <c r="D19" s="182">
        <v>225</v>
      </c>
      <c r="E19" s="170">
        <v>17</v>
      </c>
      <c r="F19" s="18">
        <v>1</v>
      </c>
      <c r="G19" s="18" t="s">
        <v>291</v>
      </c>
      <c r="H19" s="183">
        <v>-167.50700000000001</v>
      </c>
    </row>
    <row r="20" spans="2:10" x14ac:dyDescent="0.2">
      <c r="B20" s="180">
        <v>-175.828</v>
      </c>
      <c r="C20" s="181">
        <v>52.079799999999999</v>
      </c>
      <c r="D20" s="182">
        <v>233.3</v>
      </c>
      <c r="E20" s="170">
        <v>18</v>
      </c>
      <c r="F20" s="18">
        <v>1</v>
      </c>
      <c r="G20" s="18" t="s">
        <v>291</v>
      </c>
      <c r="H20" s="183">
        <v>-154.23599999999999</v>
      </c>
    </row>
    <row r="21" spans="2:10" x14ac:dyDescent="0.2">
      <c r="B21" s="180">
        <v>-176.316</v>
      </c>
      <c r="C21" s="181">
        <v>52.017400000000002</v>
      </c>
      <c r="D21" s="182">
        <v>267.5</v>
      </c>
      <c r="E21" s="170">
        <v>19</v>
      </c>
      <c r="F21" s="18">
        <v>2</v>
      </c>
      <c r="G21" s="18" t="s">
        <v>291</v>
      </c>
      <c r="H21" s="183">
        <v>-173.976</v>
      </c>
    </row>
    <row r="22" spans="2:10" x14ac:dyDescent="0.2">
      <c r="B22" s="180">
        <v>-176.45099999999999</v>
      </c>
      <c r="C22" s="181">
        <v>51.999699999999997</v>
      </c>
      <c r="D22" s="182">
        <v>277</v>
      </c>
      <c r="E22" s="170">
        <v>20</v>
      </c>
      <c r="F22" s="18">
        <v>2</v>
      </c>
      <c r="G22" s="18" t="s">
        <v>291</v>
      </c>
      <c r="H22" s="183">
        <v>-332.90699999999998</v>
      </c>
    </row>
    <row r="23" spans="2:10" x14ac:dyDescent="0.2">
      <c r="B23" s="180">
        <v>-176.88489999999999</v>
      </c>
      <c r="C23" s="181">
        <v>51.941800000000001</v>
      </c>
      <c r="D23" s="182">
        <v>307.5</v>
      </c>
      <c r="E23" s="170">
        <v>21</v>
      </c>
      <c r="F23" s="18">
        <v>2</v>
      </c>
      <c r="G23" s="18" t="s">
        <v>291</v>
      </c>
      <c r="H23" s="183">
        <v>-409.38440000000003</v>
      </c>
    </row>
    <row r="24" spans="2:10" x14ac:dyDescent="0.2">
      <c r="B24" s="180">
        <v>-176.977</v>
      </c>
      <c r="C24" s="181">
        <v>51.929299999999998</v>
      </c>
      <c r="D24" s="182">
        <v>314</v>
      </c>
      <c r="E24" s="170">
        <v>22</v>
      </c>
      <c r="F24" s="18">
        <v>2</v>
      </c>
      <c r="G24" s="18" t="s">
        <v>291</v>
      </c>
      <c r="H24" s="183">
        <v>-179.96100000000001</v>
      </c>
    </row>
    <row r="25" spans="2:10" x14ac:dyDescent="0.2">
      <c r="B25" s="180">
        <v>-177.27500000000001</v>
      </c>
      <c r="C25" s="181">
        <v>51.888300000000001</v>
      </c>
      <c r="D25" s="182">
        <v>335</v>
      </c>
      <c r="E25" s="170">
        <v>23</v>
      </c>
      <c r="F25" s="18">
        <v>1</v>
      </c>
      <c r="G25" s="18" t="s">
        <v>291</v>
      </c>
      <c r="H25" s="183">
        <v>-923.72299999999996</v>
      </c>
    </row>
    <row r="26" spans="2:10" x14ac:dyDescent="0.2">
      <c r="B26" s="180">
        <v>-177.33179999999999</v>
      </c>
      <c r="C26" s="181">
        <v>51.880299999999998</v>
      </c>
      <c r="D26" s="182">
        <v>339</v>
      </c>
      <c r="E26" s="170">
        <v>24</v>
      </c>
      <c r="F26" s="18">
        <v>1</v>
      </c>
      <c r="G26" s="18" t="s">
        <v>291</v>
      </c>
      <c r="H26" s="183">
        <v>-1182.6139000000001</v>
      </c>
    </row>
    <row r="27" spans="2:10" x14ac:dyDescent="0.2">
      <c r="B27" s="180">
        <v>-177.5102</v>
      </c>
      <c r="C27" s="181">
        <v>51.855400000000003</v>
      </c>
      <c r="D27" s="182">
        <v>353</v>
      </c>
      <c r="E27" s="170">
        <v>25</v>
      </c>
      <c r="F27" s="18">
        <v>1</v>
      </c>
      <c r="G27" s="18" t="s">
        <v>291</v>
      </c>
      <c r="H27" s="183">
        <v>-300.48610000000002</v>
      </c>
    </row>
    <row r="28" spans="2:10" x14ac:dyDescent="0.2">
      <c r="B28" s="180">
        <v>-178.14699999999999</v>
      </c>
      <c r="C28" s="181">
        <v>51.763500000000001</v>
      </c>
      <c r="D28" s="182">
        <v>396.7</v>
      </c>
      <c r="E28" s="170">
        <v>26</v>
      </c>
      <c r="F28" s="18">
        <v>1</v>
      </c>
      <c r="G28" s="18" t="s">
        <v>291</v>
      </c>
      <c r="H28" s="183">
        <v>-237.91399999999999</v>
      </c>
    </row>
    <row r="29" spans="2:10" x14ac:dyDescent="0.2">
      <c r="B29" s="180">
        <v>-178.292</v>
      </c>
      <c r="C29" s="181">
        <v>51.741999999999997</v>
      </c>
      <c r="D29" s="182">
        <v>407</v>
      </c>
      <c r="E29" s="170">
        <v>27</v>
      </c>
      <c r="F29" s="18">
        <v>1</v>
      </c>
      <c r="G29" s="18" t="s">
        <v>291</v>
      </c>
      <c r="H29" s="183">
        <v>-570.36300000000006</v>
      </c>
    </row>
    <row r="30" spans="2:10" x14ac:dyDescent="0.2">
      <c r="B30" s="180">
        <v>-178.489</v>
      </c>
      <c r="C30" s="181">
        <v>51.712600000000002</v>
      </c>
      <c r="D30" s="182">
        <v>421</v>
      </c>
      <c r="E30" s="170">
        <v>28</v>
      </c>
      <c r="F30" s="18">
        <v>2</v>
      </c>
      <c r="G30" s="18" t="s">
        <v>291</v>
      </c>
      <c r="H30" s="183">
        <v>-1072.47</v>
      </c>
    </row>
    <row r="31" spans="2:10" x14ac:dyDescent="0.2">
      <c r="B31" s="180">
        <v>-178.68600000000001</v>
      </c>
      <c r="C31" s="181">
        <v>51.6828</v>
      </c>
      <c r="D31" s="182">
        <v>435</v>
      </c>
      <c r="E31" s="170">
        <v>29</v>
      </c>
      <c r="F31" s="18">
        <v>2</v>
      </c>
      <c r="G31" s="18" t="s">
        <v>291</v>
      </c>
      <c r="H31" s="183">
        <v>-727.11900000000003</v>
      </c>
    </row>
    <row r="32" spans="2:10" x14ac:dyDescent="0.2">
      <c r="B32" s="191">
        <v>-178.89599999999999</v>
      </c>
      <c r="C32" s="192">
        <v>51.650500000000001</v>
      </c>
      <c r="D32" s="193">
        <v>450</v>
      </c>
      <c r="E32" s="194">
        <v>30</v>
      </c>
      <c r="F32" s="195">
        <v>2</v>
      </c>
      <c r="G32" s="195" t="s">
        <v>291</v>
      </c>
      <c r="H32" s="196">
        <v>-687.51199999999994</v>
      </c>
    </row>
    <row r="33" spans="2:11" x14ac:dyDescent="0.2">
      <c r="B33" s="180">
        <v>-175.14400000000001</v>
      </c>
      <c r="C33" s="181">
        <v>53.235999999999997</v>
      </c>
      <c r="D33" s="182">
        <v>0</v>
      </c>
      <c r="E33" s="170">
        <v>1</v>
      </c>
      <c r="F33" s="18">
        <v>2</v>
      </c>
      <c r="G33" s="18" t="s">
        <v>292</v>
      </c>
      <c r="H33" s="183">
        <v>-3758.55</v>
      </c>
    </row>
    <row r="34" spans="2:11" x14ac:dyDescent="0.2">
      <c r="B34" s="180">
        <v>-175.09200000000001</v>
      </c>
      <c r="C34" s="181">
        <v>53.104799999999997</v>
      </c>
      <c r="D34" s="182">
        <v>15</v>
      </c>
      <c r="E34" s="170">
        <v>2</v>
      </c>
      <c r="F34" s="18">
        <v>2</v>
      </c>
      <c r="G34" s="18" t="s">
        <v>292</v>
      </c>
      <c r="H34" s="183">
        <v>-3767.36</v>
      </c>
      <c r="J34" s="190" t="s">
        <v>219</v>
      </c>
      <c r="K34" s="171">
        <f>-1*(AVERAGE(H33:H36))</f>
        <v>3673.4549999999999</v>
      </c>
    </row>
    <row r="35" spans="2:11" x14ac:dyDescent="0.2">
      <c r="B35" s="180">
        <v>-175.041</v>
      </c>
      <c r="C35" s="181">
        <v>52.973700000000001</v>
      </c>
      <c r="D35" s="182">
        <v>30</v>
      </c>
      <c r="E35" s="170">
        <v>3</v>
      </c>
      <c r="F35" s="18">
        <v>2</v>
      </c>
      <c r="G35" s="18" t="s">
        <v>292</v>
      </c>
      <c r="H35" s="183">
        <v>-3692.23</v>
      </c>
      <c r="J35" s="190" t="s">
        <v>218</v>
      </c>
      <c r="K35" s="171">
        <f>-1*(AVERAGE(H33:H34))</f>
        <v>3762.9549999999999</v>
      </c>
    </row>
    <row r="36" spans="2:11" x14ac:dyDescent="0.2">
      <c r="B36" s="180">
        <v>-174.99299999999999</v>
      </c>
      <c r="C36" s="181">
        <v>52.851199999999999</v>
      </c>
      <c r="D36" s="182">
        <v>44</v>
      </c>
      <c r="E36" s="170">
        <v>4</v>
      </c>
      <c r="F36" s="18">
        <v>2</v>
      </c>
      <c r="G36" s="18" t="s">
        <v>292</v>
      </c>
      <c r="H36" s="183">
        <v>-3475.68</v>
      </c>
      <c r="J36" s="190" t="s">
        <v>221</v>
      </c>
      <c r="K36" s="171">
        <f>-1*(AVERAGE(H37:H39))</f>
        <v>3160.6033333333339</v>
      </c>
    </row>
    <row r="37" spans="2:11" x14ac:dyDescent="0.2">
      <c r="B37" s="180">
        <v>-174.946</v>
      </c>
      <c r="C37" s="181">
        <v>52.728700000000003</v>
      </c>
      <c r="D37" s="182">
        <v>58</v>
      </c>
      <c r="E37" s="170">
        <v>5</v>
      </c>
      <c r="F37" s="18">
        <v>1</v>
      </c>
      <c r="G37" s="18" t="s">
        <v>292</v>
      </c>
      <c r="H37" s="183">
        <v>-3426.68</v>
      </c>
      <c r="J37" s="190" t="s">
        <v>223</v>
      </c>
      <c r="K37" s="171">
        <f>-1*(AVERAGE(H40:H42))</f>
        <v>944.38913333333323</v>
      </c>
    </row>
    <row r="38" spans="2:11" x14ac:dyDescent="0.2">
      <c r="B38" s="180">
        <v>-174.905</v>
      </c>
      <c r="C38" s="181">
        <v>52.623699999999999</v>
      </c>
      <c r="D38" s="182">
        <v>70</v>
      </c>
      <c r="E38" s="170">
        <v>6</v>
      </c>
      <c r="F38" s="18">
        <v>1</v>
      </c>
      <c r="G38" s="18" t="s">
        <v>292</v>
      </c>
      <c r="H38" s="183">
        <v>-3221.33</v>
      </c>
    </row>
    <row r="39" spans="2:11" x14ac:dyDescent="0.2">
      <c r="B39" s="180">
        <v>-174.86500000000001</v>
      </c>
      <c r="C39" s="181">
        <v>52.518700000000003</v>
      </c>
      <c r="D39" s="182">
        <v>82</v>
      </c>
      <c r="E39" s="170">
        <v>7</v>
      </c>
      <c r="F39" s="18">
        <v>1</v>
      </c>
      <c r="G39" s="18" t="s">
        <v>292</v>
      </c>
      <c r="H39" s="183">
        <v>-2833.8</v>
      </c>
    </row>
    <row r="40" spans="2:11" x14ac:dyDescent="0.2">
      <c r="B40" s="180">
        <v>-174.82499999999999</v>
      </c>
      <c r="C40" s="181">
        <v>52.413699999999999</v>
      </c>
      <c r="D40" s="182">
        <v>94</v>
      </c>
      <c r="E40" s="170">
        <v>8</v>
      </c>
      <c r="F40" s="18">
        <v>4</v>
      </c>
      <c r="G40" s="18" t="s">
        <v>292</v>
      </c>
      <c r="H40" s="183">
        <v>-2238.9699999999998</v>
      </c>
    </row>
    <row r="41" spans="2:11" x14ac:dyDescent="0.2">
      <c r="B41" s="180">
        <v>-174.785</v>
      </c>
      <c r="C41" s="181">
        <v>52.308599999999998</v>
      </c>
      <c r="D41" s="182">
        <v>106</v>
      </c>
      <c r="E41" s="170">
        <v>9</v>
      </c>
      <c r="F41" s="18">
        <v>4</v>
      </c>
      <c r="G41" s="18" t="s">
        <v>292</v>
      </c>
      <c r="H41" s="183">
        <v>-496.18</v>
      </c>
    </row>
    <row r="42" spans="2:11" x14ac:dyDescent="0.2">
      <c r="B42" s="184">
        <v>-174.727</v>
      </c>
      <c r="C42" s="185">
        <v>52.1601</v>
      </c>
      <c r="D42" s="186">
        <v>123</v>
      </c>
      <c r="E42" s="187">
        <v>10</v>
      </c>
      <c r="F42" s="188">
        <v>0</v>
      </c>
      <c r="G42" s="188" t="s">
        <v>292</v>
      </c>
      <c r="H42" s="189">
        <v>-98.017399999999995</v>
      </c>
    </row>
    <row r="43" spans="2:11" x14ac:dyDescent="0.2">
      <c r="B43" s="180">
        <v>-174.648</v>
      </c>
      <c r="C43" s="181">
        <v>51.95</v>
      </c>
      <c r="D43" s="182">
        <v>147</v>
      </c>
      <c r="E43" s="170">
        <v>11</v>
      </c>
      <c r="F43" s="18">
        <v>2</v>
      </c>
      <c r="G43" s="18" t="s">
        <v>292</v>
      </c>
      <c r="H43" s="183">
        <v>-74.877899999999997</v>
      </c>
    </row>
    <row r="44" spans="2:11" x14ac:dyDescent="0.2">
      <c r="B44" s="180">
        <v>-174.60900000000001</v>
      </c>
      <c r="C44" s="181">
        <v>51.844900000000003</v>
      </c>
      <c r="D44" s="182">
        <v>159</v>
      </c>
      <c r="E44" s="170">
        <v>12</v>
      </c>
      <c r="F44" s="18">
        <v>2</v>
      </c>
      <c r="G44" s="18" t="s">
        <v>292</v>
      </c>
      <c r="H44" s="183">
        <v>-174.434</v>
      </c>
    </row>
    <row r="45" spans="2:11" x14ac:dyDescent="0.2">
      <c r="B45" s="180">
        <v>-174.56899999999999</v>
      </c>
      <c r="C45" s="181">
        <v>51.739800000000002</v>
      </c>
      <c r="D45" s="182">
        <v>171</v>
      </c>
      <c r="E45" s="170">
        <v>13</v>
      </c>
      <c r="F45" s="18">
        <v>2</v>
      </c>
      <c r="G45" s="18" t="s">
        <v>292</v>
      </c>
      <c r="H45" s="183">
        <v>-1248.49</v>
      </c>
    </row>
    <row r="46" spans="2:11" x14ac:dyDescent="0.2">
      <c r="B46" s="180">
        <v>-174.53100000000001</v>
      </c>
      <c r="C46" s="181">
        <v>51.634700000000002</v>
      </c>
      <c r="D46" s="182">
        <v>183</v>
      </c>
      <c r="E46" s="170">
        <v>14</v>
      </c>
      <c r="F46" s="18">
        <v>1</v>
      </c>
      <c r="G46" s="18" t="s">
        <v>292</v>
      </c>
      <c r="H46" s="183">
        <v>-2937.8</v>
      </c>
    </row>
    <row r="47" spans="2:11" x14ac:dyDescent="0.2">
      <c r="B47" s="180">
        <v>-174.48500000000001</v>
      </c>
      <c r="C47" s="181">
        <v>51.512099999999997</v>
      </c>
      <c r="D47" s="182">
        <v>197</v>
      </c>
      <c r="E47" s="170">
        <v>15</v>
      </c>
      <c r="F47" s="18">
        <v>1</v>
      </c>
      <c r="G47" s="18" t="s">
        <v>292</v>
      </c>
      <c r="H47" s="183">
        <v>-4433</v>
      </c>
      <c r="J47" s="190" t="s">
        <v>225</v>
      </c>
      <c r="K47" s="171">
        <f>-1*(AVERAGE(H43:H45))</f>
        <v>499.26729999999998</v>
      </c>
    </row>
    <row r="48" spans="2:11" x14ac:dyDescent="0.2">
      <c r="B48" s="180">
        <v>-174.441</v>
      </c>
      <c r="C48" s="181">
        <v>51.389400000000002</v>
      </c>
      <c r="D48" s="182">
        <v>211</v>
      </c>
      <c r="E48" s="170">
        <v>16</v>
      </c>
      <c r="F48" s="18">
        <v>1</v>
      </c>
      <c r="G48" s="18" t="s">
        <v>292</v>
      </c>
      <c r="H48" s="183">
        <v>-4668.2</v>
      </c>
      <c r="J48" s="190" t="s">
        <v>227</v>
      </c>
      <c r="K48" s="171">
        <f>-1*(AVERAGE(H46:H48))</f>
        <v>4013</v>
      </c>
    </row>
    <row r="49" spans="2:11" x14ac:dyDescent="0.2">
      <c r="B49" s="180">
        <v>-174.39599999999999</v>
      </c>
      <c r="C49" s="181">
        <v>51.2667</v>
      </c>
      <c r="D49" s="182">
        <v>225</v>
      </c>
      <c r="E49" s="170">
        <v>17</v>
      </c>
      <c r="F49" s="18">
        <v>2</v>
      </c>
      <c r="G49" s="18" t="s">
        <v>292</v>
      </c>
      <c r="H49" s="183">
        <v>-4628.6899999999996</v>
      </c>
      <c r="J49" s="190" t="s">
        <v>229</v>
      </c>
      <c r="K49" s="171">
        <f>-1*(AVERAGE(H49:H51))</f>
        <v>4674.47</v>
      </c>
    </row>
    <row r="50" spans="2:11" x14ac:dyDescent="0.2">
      <c r="B50" s="180">
        <v>-174.34800000000001</v>
      </c>
      <c r="C50" s="181">
        <v>51.135199999999998</v>
      </c>
      <c r="D50" s="182">
        <v>240</v>
      </c>
      <c r="E50" s="170">
        <v>18</v>
      </c>
      <c r="F50" s="18">
        <v>2</v>
      </c>
      <c r="G50" s="18" t="s">
        <v>292</v>
      </c>
      <c r="H50" s="183">
        <v>-4589.99</v>
      </c>
      <c r="J50" s="190" t="s">
        <v>231</v>
      </c>
      <c r="K50" s="171">
        <f>-1*(H53+H55+H57)/3</f>
        <v>6155.1733333333332</v>
      </c>
    </row>
    <row r="51" spans="2:11" x14ac:dyDescent="0.2">
      <c r="B51" s="180">
        <v>-174.30099999999999</v>
      </c>
      <c r="C51" s="181">
        <v>51.003700000000002</v>
      </c>
      <c r="D51" s="182">
        <v>255</v>
      </c>
      <c r="E51" s="170">
        <v>19</v>
      </c>
      <c r="F51" s="18">
        <v>2</v>
      </c>
      <c r="G51" s="18" t="s">
        <v>292</v>
      </c>
      <c r="H51" s="183">
        <v>-4804.7299999999996</v>
      </c>
    </row>
    <row r="52" spans="2:11" x14ac:dyDescent="0.2">
      <c r="B52" s="180">
        <v>-174.25399999999999</v>
      </c>
      <c r="C52" s="181">
        <v>50.872199999999999</v>
      </c>
      <c r="D52" s="182">
        <v>270</v>
      </c>
      <c r="E52" s="170">
        <v>20</v>
      </c>
      <c r="F52" s="18">
        <v>0</v>
      </c>
      <c r="G52" s="18" t="s">
        <v>292</v>
      </c>
      <c r="H52" s="183">
        <v>-6156.13</v>
      </c>
    </row>
    <row r="53" spans="2:11" x14ac:dyDescent="0.2">
      <c r="B53" s="180">
        <v>-174.208</v>
      </c>
      <c r="C53" s="181">
        <v>50.740600000000001</v>
      </c>
      <c r="D53" s="182">
        <v>285</v>
      </c>
      <c r="E53" s="170">
        <v>21</v>
      </c>
      <c r="F53" s="18">
        <v>3</v>
      </c>
      <c r="G53" s="18" t="s">
        <v>292</v>
      </c>
      <c r="H53" s="183">
        <v>-7137.88</v>
      </c>
    </row>
    <row r="54" spans="2:11" x14ac:dyDescent="0.2">
      <c r="B54" s="180">
        <v>-174.161</v>
      </c>
      <c r="C54" s="181">
        <v>50.609099999999998</v>
      </c>
      <c r="D54" s="182">
        <v>300</v>
      </c>
      <c r="E54" s="170">
        <v>22</v>
      </c>
      <c r="F54" s="18">
        <v>0</v>
      </c>
      <c r="G54" s="18" t="s">
        <v>292</v>
      </c>
      <c r="H54" s="183">
        <v>-6974.5</v>
      </c>
    </row>
    <row r="55" spans="2:11" x14ac:dyDescent="0.2">
      <c r="B55" s="180">
        <v>-174.11500000000001</v>
      </c>
      <c r="C55" s="181">
        <v>50.477499999999999</v>
      </c>
      <c r="D55" s="182">
        <v>315</v>
      </c>
      <c r="E55" s="170">
        <v>23</v>
      </c>
      <c r="F55" s="18">
        <v>3</v>
      </c>
      <c r="G55" s="18" t="s">
        <v>292</v>
      </c>
      <c r="H55" s="183">
        <v>-6106.06</v>
      </c>
    </row>
    <row r="56" spans="2:11" x14ac:dyDescent="0.2">
      <c r="B56" s="180">
        <v>-174.06899999999999</v>
      </c>
      <c r="C56" s="181">
        <v>50.3459</v>
      </c>
      <c r="D56" s="182">
        <v>330</v>
      </c>
      <c r="E56" s="170">
        <v>24</v>
      </c>
      <c r="F56" s="18">
        <v>0</v>
      </c>
      <c r="G56" s="18" t="s">
        <v>292</v>
      </c>
      <c r="H56" s="183">
        <v>-5525</v>
      </c>
    </row>
    <row r="57" spans="2:11" x14ac:dyDescent="0.2">
      <c r="B57" s="180">
        <v>-174.023</v>
      </c>
      <c r="C57" s="181">
        <v>50.214199999999998</v>
      </c>
      <c r="D57" s="182">
        <v>345</v>
      </c>
      <c r="E57" s="170">
        <v>25</v>
      </c>
      <c r="F57" s="18">
        <v>1</v>
      </c>
      <c r="G57" s="18" t="s">
        <v>292</v>
      </c>
      <c r="H57" s="183">
        <v>-5221.58</v>
      </c>
    </row>
    <row r="58" spans="2:11" x14ac:dyDescent="0.2">
      <c r="B58" s="180">
        <v>-173.97800000000001</v>
      </c>
      <c r="C58" s="181">
        <v>50.082599999999999</v>
      </c>
      <c r="D58" s="182">
        <v>360</v>
      </c>
      <c r="E58" s="170">
        <v>26</v>
      </c>
      <c r="F58" s="18">
        <v>0</v>
      </c>
      <c r="G58" s="18" t="s">
        <v>292</v>
      </c>
      <c r="H58" s="183">
        <v>-4967.99</v>
      </c>
    </row>
    <row r="59" spans="2:11" x14ac:dyDescent="0.2">
      <c r="B59" s="180">
        <v>-173.93199999999999</v>
      </c>
      <c r="C59" s="181">
        <v>49.950899999999997</v>
      </c>
      <c r="D59" s="182">
        <v>375</v>
      </c>
      <c r="E59" s="170">
        <v>27</v>
      </c>
      <c r="F59" s="18">
        <v>0</v>
      </c>
      <c r="G59" s="18" t="s">
        <v>292</v>
      </c>
      <c r="H59" s="183">
        <v>-4496.5</v>
      </c>
    </row>
    <row r="60" spans="2:11" x14ac:dyDescent="0.2">
      <c r="B60" s="180">
        <v>-173.887</v>
      </c>
      <c r="C60" s="181">
        <v>49.819200000000002</v>
      </c>
      <c r="D60" s="182">
        <v>390</v>
      </c>
      <c r="E60" s="170">
        <v>28</v>
      </c>
      <c r="F60" s="18">
        <v>0</v>
      </c>
      <c r="G60" s="18" t="s">
        <v>292</v>
      </c>
      <c r="H60" s="183">
        <v>-5183.05</v>
      </c>
    </row>
    <row r="61" spans="2:11" x14ac:dyDescent="0.2">
      <c r="B61" s="180">
        <v>-173.84299999999999</v>
      </c>
      <c r="C61" s="181">
        <v>49.6875</v>
      </c>
      <c r="D61" s="182">
        <v>405</v>
      </c>
      <c r="E61" s="170">
        <v>29</v>
      </c>
      <c r="F61" s="18">
        <v>0</v>
      </c>
      <c r="G61" s="18" t="s">
        <v>292</v>
      </c>
      <c r="H61" s="183">
        <v>-5168.8100000000004</v>
      </c>
    </row>
    <row r="62" spans="2:11" x14ac:dyDescent="0.2">
      <c r="B62" s="180">
        <v>-173.798</v>
      </c>
      <c r="C62" s="181">
        <v>49.555799999999998</v>
      </c>
      <c r="D62" s="182">
        <v>420</v>
      </c>
      <c r="E62" s="170">
        <v>30</v>
      </c>
      <c r="F62" s="18">
        <v>0</v>
      </c>
      <c r="G62" s="18" t="s">
        <v>292</v>
      </c>
      <c r="H62" s="183">
        <v>-4921.28</v>
      </c>
    </row>
    <row r="63" spans="2:11" x14ac:dyDescent="0.2">
      <c r="B63" s="180">
        <v>-173.75399999999999</v>
      </c>
      <c r="C63" s="181">
        <v>49.424100000000003</v>
      </c>
      <c r="D63" s="182">
        <v>435</v>
      </c>
      <c r="E63" s="170">
        <v>31</v>
      </c>
      <c r="F63" s="18">
        <v>0</v>
      </c>
      <c r="G63" s="18" t="s">
        <v>292</v>
      </c>
      <c r="H63" s="183">
        <v>-4650.93</v>
      </c>
    </row>
    <row r="64" spans="2:11" x14ac:dyDescent="0.2">
      <c r="B64" s="191">
        <v>-173.71</v>
      </c>
      <c r="C64" s="192">
        <v>49.292299999999997</v>
      </c>
      <c r="D64" s="193">
        <v>450</v>
      </c>
      <c r="E64" s="194">
        <v>32</v>
      </c>
      <c r="F64" s="195">
        <v>0</v>
      </c>
      <c r="G64" s="195" t="s">
        <v>292</v>
      </c>
      <c r="H64" s="196">
        <v>-5532.8</v>
      </c>
    </row>
    <row r="65" spans="2:11" x14ac:dyDescent="0.2">
      <c r="B65" s="180">
        <v>-176.65199999999999</v>
      </c>
      <c r="C65" s="181">
        <v>52.912399999999998</v>
      </c>
      <c r="D65" s="182">
        <v>0</v>
      </c>
      <c r="E65" s="170">
        <v>1</v>
      </c>
      <c r="F65" s="18">
        <v>0</v>
      </c>
      <c r="G65" s="18" t="s">
        <v>293</v>
      </c>
      <c r="H65" s="183">
        <v>-3733.28</v>
      </c>
      <c r="J65" s="190" t="s">
        <v>294</v>
      </c>
      <c r="K65" s="171">
        <f>-1*(AVERAGE(H65:H66))</f>
        <v>3742.9753000000001</v>
      </c>
    </row>
    <row r="66" spans="2:11" x14ac:dyDescent="0.2">
      <c r="B66" s="180">
        <v>-176.5821</v>
      </c>
      <c r="C66" s="181">
        <v>52.728499999999997</v>
      </c>
      <c r="D66" s="182">
        <v>21</v>
      </c>
      <c r="E66" s="170">
        <v>2</v>
      </c>
      <c r="F66" s="18">
        <v>0</v>
      </c>
      <c r="G66" s="18" t="s">
        <v>293</v>
      </c>
      <c r="H66" s="183">
        <v>-3752.6705999999999</v>
      </c>
      <c r="J66" s="190" t="s">
        <v>295</v>
      </c>
      <c r="K66" s="171">
        <f>-1*(AVERAGE(H67:H69))</f>
        <v>3257.7070666666664</v>
      </c>
    </row>
    <row r="67" spans="2:11" x14ac:dyDescent="0.2">
      <c r="B67" s="180">
        <v>-176.51240000000001</v>
      </c>
      <c r="C67" s="181">
        <v>52.544699999999999</v>
      </c>
      <c r="D67" s="182">
        <v>42</v>
      </c>
      <c r="E67" s="170">
        <v>3</v>
      </c>
      <c r="F67" s="18">
        <v>0</v>
      </c>
      <c r="G67" s="18" t="s">
        <v>293</v>
      </c>
      <c r="H67" s="183">
        <v>-3567.3119999999999</v>
      </c>
      <c r="J67" s="190" t="s">
        <v>251</v>
      </c>
      <c r="K67" s="171">
        <f>-1*(AVERAGE(H70:H70))</f>
        <v>163.947</v>
      </c>
    </row>
    <row r="68" spans="2:11" x14ac:dyDescent="0.2">
      <c r="B68" s="180">
        <v>-176.44659999999999</v>
      </c>
      <c r="C68" s="181">
        <v>52.369500000000002</v>
      </c>
      <c r="D68" s="182">
        <v>62</v>
      </c>
      <c r="E68" s="170">
        <v>4</v>
      </c>
      <c r="F68" s="18">
        <v>0</v>
      </c>
      <c r="G68" s="18" t="s">
        <v>293</v>
      </c>
      <c r="H68" s="183">
        <v>-3327.9793</v>
      </c>
      <c r="J68" s="190" t="s">
        <v>296</v>
      </c>
      <c r="K68" s="171">
        <f>-1*(AVERAGE(H70:H72))</f>
        <v>410.17129999999997</v>
      </c>
    </row>
    <row r="69" spans="2:11" x14ac:dyDescent="0.2">
      <c r="B69" s="180">
        <v>-176.38130000000001</v>
      </c>
      <c r="C69" s="181">
        <v>52.194200000000002</v>
      </c>
      <c r="D69" s="182">
        <v>82</v>
      </c>
      <c r="E69" s="170">
        <v>5</v>
      </c>
      <c r="F69" s="18">
        <v>0</v>
      </c>
      <c r="G69" s="18" t="s">
        <v>293</v>
      </c>
      <c r="H69" s="183">
        <v>-2877.8299000000002</v>
      </c>
    </row>
    <row r="70" spans="2:11" x14ac:dyDescent="0.2">
      <c r="B70" s="191">
        <v>-176.28100000000001</v>
      </c>
      <c r="C70" s="192">
        <v>51.922600000000003</v>
      </c>
      <c r="D70" s="193">
        <v>113</v>
      </c>
      <c r="E70" s="194">
        <v>6</v>
      </c>
      <c r="F70" s="195">
        <v>4</v>
      </c>
      <c r="G70" s="195" t="s">
        <v>293</v>
      </c>
      <c r="H70" s="196">
        <v>-163.947</v>
      </c>
    </row>
    <row r="71" spans="2:11" x14ac:dyDescent="0.2">
      <c r="B71" s="180">
        <v>-176.20699999999999</v>
      </c>
      <c r="C71" s="181">
        <v>51.7209</v>
      </c>
      <c r="D71" s="182">
        <v>136</v>
      </c>
      <c r="E71" s="170">
        <v>7</v>
      </c>
      <c r="F71" s="18">
        <v>0</v>
      </c>
      <c r="G71" s="18" t="s">
        <v>293</v>
      </c>
      <c r="H71" s="183">
        <v>-129.72499999999999</v>
      </c>
    </row>
    <row r="72" spans="2:11" x14ac:dyDescent="0.2">
      <c r="B72" s="180">
        <v>-176.14449999999999</v>
      </c>
      <c r="C72" s="181">
        <v>51.545499999999997</v>
      </c>
      <c r="D72" s="182">
        <v>156</v>
      </c>
      <c r="E72" s="170">
        <v>8</v>
      </c>
      <c r="F72" s="18">
        <v>0</v>
      </c>
      <c r="G72" s="18" t="s">
        <v>293</v>
      </c>
      <c r="H72" s="183">
        <v>-936.84190000000001</v>
      </c>
    </row>
    <row r="73" spans="2:11" x14ac:dyDescent="0.2">
      <c r="B73" s="180">
        <v>-176.08150000000001</v>
      </c>
      <c r="C73" s="181">
        <v>51.370100000000001</v>
      </c>
      <c r="D73" s="182">
        <v>176</v>
      </c>
      <c r="E73" s="170">
        <v>9</v>
      </c>
      <c r="F73" s="18">
        <v>0</v>
      </c>
      <c r="G73" s="18" t="s">
        <v>293</v>
      </c>
      <c r="H73" s="183">
        <v>-3808.4902999999999</v>
      </c>
    </row>
    <row r="74" spans="2:11" x14ac:dyDescent="0.2">
      <c r="B74" s="180">
        <v>-176.01599999999999</v>
      </c>
      <c r="C74" s="181">
        <v>51.185899999999997</v>
      </c>
      <c r="D74" s="182">
        <v>197</v>
      </c>
      <c r="E74" s="170">
        <v>10</v>
      </c>
      <c r="F74" s="18">
        <v>0</v>
      </c>
      <c r="G74" s="18" t="s">
        <v>293</v>
      </c>
      <c r="H74" s="183">
        <v>-4227.6418999999996</v>
      </c>
      <c r="J74" s="190" t="s">
        <v>297</v>
      </c>
      <c r="K74" s="171">
        <f>-1*(AVERAGE(H73:H74))</f>
        <v>4018.0661</v>
      </c>
    </row>
    <row r="75" spans="2:11" x14ac:dyDescent="0.2">
      <c r="B75" s="180">
        <v>-175.95099999999999</v>
      </c>
      <c r="C75" s="181">
        <v>51.001600000000003</v>
      </c>
      <c r="D75" s="182">
        <v>218</v>
      </c>
      <c r="E75" s="170">
        <v>11</v>
      </c>
      <c r="F75" s="18">
        <v>0</v>
      </c>
      <c r="G75" s="18" t="s">
        <v>293</v>
      </c>
      <c r="H75" s="183">
        <v>-3615.6968999999999</v>
      </c>
      <c r="J75" s="190" t="s">
        <v>298</v>
      </c>
      <c r="K75" s="171">
        <f>-1*(AVERAGE(H75:H78))</f>
        <v>5614.5282500000003</v>
      </c>
    </row>
    <row r="76" spans="2:11" x14ac:dyDescent="0.2">
      <c r="B76" s="180">
        <v>-175.8835</v>
      </c>
      <c r="C76" s="181">
        <v>50.808500000000002</v>
      </c>
      <c r="D76" s="182">
        <v>240</v>
      </c>
      <c r="E76" s="170">
        <v>12</v>
      </c>
      <c r="F76" s="18">
        <v>0</v>
      </c>
      <c r="G76" s="18" t="s">
        <v>293</v>
      </c>
      <c r="H76" s="183">
        <v>-5218.4461000000001</v>
      </c>
      <c r="J76" s="190" t="s">
        <v>299</v>
      </c>
      <c r="K76" s="171">
        <f>-1*(AVERAGE(H79:H80))</f>
        <v>6655.1949999999997</v>
      </c>
    </row>
    <row r="77" spans="2:11" x14ac:dyDescent="0.2">
      <c r="B77" s="180">
        <v>-175.83699999999999</v>
      </c>
      <c r="C77" s="181">
        <v>50.676900000000003</v>
      </c>
      <c r="D77" s="182">
        <v>255</v>
      </c>
      <c r="E77" s="170">
        <v>19</v>
      </c>
      <c r="F77" s="18">
        <v>0</v>
      </c>
      <c r="G77" s="18" t="s">
        <v>293</v>
      </c>
      <c r="H77" s="183">
        <v>-6321.84</v>
      </c>
    </row>
    <row r="78" spans="2:11" x14ac:dyDescent="0.2">
      <c r="B78" s="180">
        <v>-175.792</v>
      </c>
      <c r="C78" s="181">
        <v>50.545200000000001</v>
      </c>
      <c r="D78" s="182">
        <v>270</v>
      </c>
      <c r="E78" s="170">
        <v>20</v>
      </c>
      <c r="F78" s="18">
        <v>0</v>
      </c>
      <c r="G78" s="18" t="s">
        <v>293</v>
      </c>
      <c r="H78" s="183">
        <v>-7302.13</v>
      </c>
    </row>
    <row r="79" spans="2:11" x14ac:dyDescent="0.2">
      <c r="B79" s="180">
        <v>-175.74700000000001</v>
      </c>
      <c r="C79" s="181">
        <v>50.413499999999999</v>
      </c>
      <c r="D79" s="182">
        <v>285</v>
      </c>
      <c r="E79" s="170">
        <v>21</v>
      </c>
      <c r="F79" s="18">
        <v>0</v>
      </c>
      <c r="G79" s="18" t="s">
        <v>293</v>
      </c>
      <c r="H79" s="183">
        <v>-7231.78</v>
      </c>
    </row>
    <row r="80" spans="2:11" x14ac:dyDescent="0.2">
      <c r="B80" s="191">
        <v>-175.702</v>
      </c>
      <c r="C80" s="192">
        <v>50.281700000000001</v>
      </c>
      <c r="D80" s="193">
        <v>300</v>
      </c>
      <c r="E80" s="194">
        <v>22</v>
      </c>
      <c r="F80" s="195">
        <v>0</v>
      </c>
      <c r="G80" s="195" t="s">
        <v>293</v>
      </c>
      <c r="H80" s="196">
        <v>-6078.61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70</vt:i4>
      </vt:variant>
    </vt:vector>
  </HeadingPairs>
  <TitlesOfParts>
    <vt:vector size="72" baseType="lpstr">
      <vt:lpstr>Plan_K_N-S_09-15-20_XD2</vt:lpstr>
      <vt:lpstr>Insts_09_02_20</vt:lpstr>
      <vt:lpstr>'Plan_K_N-S_09-15-20_XD2'!avg_rise_D1N</vt:lpstr>
      <vt:lpstr>'Plan_K_N-S_09-15-20_XD2'!avg_rise_D1S</vt:lpstr>
      <vt:lpstr>'Plan_K_N-S_09-15-20_XD2'!avg_rise_D2N</vt:lpstr>
      <vt:lpstr>'Plan_K_N-S_09-15-20_XD2'!avg_rise_D2S</vt:lpstr>
      <vt:lpstr>'Plan_K_N-S_09-15-20_XD2'!avg_rise_rate</vt:lpstr>
      <vt:lpstr>'Plan_K_N-S_09-15-20_XD2'!avg_rise_strike</vt:lpstr>
      <vt:lpstr>'Plan_K_N-S_09-15-20_XD2'!avg_rise_time</vt:lpstr>
      <vt:lpstr>'Plan_K_N-S_09-15-20_XD2'!avg_teth_dep</vt:lpstr>
      <vt:lpstr>'Plan_K_N-S_09-15-20_XD2'!burn_time</vt:lpstr>
      <vt:lpstr>'Plan_K_N-S_09-15-20_XD2'!D1_N_depth</vt:lpstr>
      <vt:lpstr>'Plan_K_N-S_09-15-20_XD2'!D1_S_depth</vt:lpstr>
      <vt:lpstr>'Plan_K_N-S_09-15-20_XD2'!D2_N_depth</vt:lpstr>
      <vt:lpstr>'Plan_K_N-S_09-15-20_XD2'!D2_S_depth</vt:lpstr>
      <vt:lpstr>'Plan_K_N-S_09-15-20_XD2'!Dspeed</vt:lpstr>
      <vt:lpstr>'Plan_K_N-S_09-15-20_XD2'!km_per_nm</vt:lpstr>
      <vt:lpstr>'Plan_K_N-S_09-15-20_XD2'!mcs_shoot</vt:lpstr>
      <vt:lpstr>'Plan_K_N-S_09-15-20_XD2'!MGL_speed</vt:lpstr>
      <vt:lpstr>'Plan_K_N-S_09-15-20_XD2'!n_obs</vt:lpstr>
      <vt:lpstr>'Plan_K_N-S_09-15-20_XD2'!n_teth_D1</vt:lpstr>
      <vt:lpstr>'Plan_K_N-S_09-15-20_XD2'!n_teth_D2</vt:lpstr>
      <vt:lpstr>'Plan_K_N-S_09-15-20_XD2'!nM_km</vt:lpstr>
      <vt:lpstr>'Plan_K_N-S_09-15-20_XD2'!nobs_whoi</vt:lpstr>
      <vt:lpstr>'Plan_K_N-S_09-15-20_XD2'!obh_dep</vt:lpstr>
      <vt:lpstr>'Plan_K_N-S_09-15-20_XD2'!obh_rec_D1N</vt:lpstr>
      <vt:lpstr>'Plan_K_N-S_09-15-20_XD2'!obh_rec_D1S</vt:lpstr>
      <vt:lpstr>'Plan_K_N-S_09-15-20_XD2'!obh_rec_D2N</vt:lpstr>
      <vt:lpstr>'Plan_K_N-S_09-15-20_XD2'!obh_rec_D2S</vt:lpstr>
      <vt:lpstr>'Plan_K_N-S_09-15-20_XD2'!obh_rec_dip</vt:lpstr>
      <vt:lpstr>'Plan_K_N-S_09-15-20_XD2'!obh_rec_strike</vt:lpstr>
      <vt:lpstr>'Plan_K_N-S_09-15-20_XD2'!obh_recover</vt:lpstr>
      <vt:lpstr>'Plan_K_N-S_09-15-20_XD2'!obh_shoot</vt:lpstr>
      <vt:lpstr>'Plan_K_N-S_09-15-20_XD2'!Print_Area</vt:lpstr>
      <vt:lpstr>'Plan_K_N-S_09-15-20_XD2'!rec_time</vt:lpstr>
      <vt:lpstr>'Plan_K_N-S_09-15-20_XD2'!rise_SIO</vt:lpstr>
      <vt:lpstr>'Plan_K_N-S_09-15-20_XD2'!rise_WHOI</vt:lpstr>
      <vt:lpstr>'Plan_K_N-S_09-15-20_XD2'!rtimeD1_1_2</vt:lpstr>
      <vt:lpstr>'Plan_K_N-S_09-15-20_XD2'!rtimeD1_1_4</vt:lpstr>
      <vt:lpstr>rtimeD1_11</vt:lpstr>
      <vt:lpstr>'Plan_K_N-S_09-15-20_XD2'!rtimeD1_11_13</vt:lpstr>
      <vt:lpstr>rtimeD1_12</vt:lpstr>
      <vt:lpstr>rtimeD1_13</vt:lpstr>
      <vt:lpstr>rtimeD1_14</vt:lpstr>
      <vt:lpstr>'Plan_K_N-S_09-15-20_XD2'!rtimeD1_14_16</vt:lpstr>
      <vt:lpstr>rtimeD1_15</vt:lpstr>
      <vt:lpstr>rtimeD1_16</vt:lpstr>
      <vt:lpstr>rtimeD1_17</vt:lpstr>
      <vt:lpstr>'Plan_K_N-S_09-15-20_XD2'!rtimeD1_17_19</vt:lpstr>
      <vt:lpstr>'Plan_K_N-S_09-15-20_XD2'!rtimeD1_21_25</vt:lpstr>
      <vt:lpstr>'Plan_K_N-S_09-15-20_XD2'!rtimeD1_5_7</vt:lpstr>
      <vt:lpstr>'Plan_K_N-S_09-15-20_XD2'!rtimeD1_8_10</vt:lpstr>
      <vt:lpstr>'Plan_K_N-S_09-15-20_XD2'!rtimeD2_1_3</vt:lpstr>
      <vt:lpstr>'Plan_K_N-S_09-15-20_XD2'!rtimeD2_11_12</vt:lpstr>
      <vt:lpstr>'Plan_K_N-S_09-15-20_XD2'!rtimeD2_4_5</vt:lpstr>
      <vt:lpstr>'Plan_K_N-S_09-15-20_XD2'!rtimeD2_6</vt:lpstr>
      <vt:lpstr>'Plan_K_N-S_09-15-20_XD2'!rtimeD2_7</vt:lpstr>
      <vt:lpstr>'Plan_K_N-S_09-15-20_XD2'!rtimeD2_8_10</vt:lpstr>
      <vt:lpstr>'Plan_K_N-S_09-15-20_XD2'!tech_hrs_D1</vt:lpstr>
      <vt:lpstr>'Plan_K_N-S_09-15-20_XD2'!teth_aleut</vt:lpstr>
      <vt:lpstr>'Plan_K_N-S_09-15-20_XD2'!teth_dep</vt:lpstr>
      <vt:lpstr>'Plan_K_N-S_09-15-20_XD2'!teth_hrs_D1</vt:lpstr>
      <vt:lpstr>'Plan_K_N-S_09-15-20_XD2'!teth_hrs_D2</vt:lpstr>
      <vt:lpstr>'Plan_K_N-S_09-15-20_XD2'!TR</vt:lpstr>
      <vt:lpstr>'Plan_K_N-S_09-15-20_XD2'!transit</vt:lpstr>
      <vt:lpstr>'Plan_K_N-S_09-15-20_XD2'!Um</vt:lpstr>
      <vt:lpstr>'Plan_K_N-S_09-15-20_XD2'!Uw</vt:lpstr>
      <vt:lpstr>'Plan_K_N-S_09-15-20_XD2'!Vm</vt:lpstr>
      <vt:lpstr>'Plan_K_N-S_09-15-20_XD2'!Vw</vt:lpstr>
      <vt:lpstr>'Plan_K_N-S_09-15-20_XD2'!wire</vt:lpstr>
      <vt:lpstr>'Plan_K_N-S_09-15-20_XD2'!X</vt:lpstr>
      <vt:lpstr>'Plan_K_N-S_09-15-20_XD2'!XR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Carolyn Ruppel</dc:creator>
  <dc:description/>
  <cp:lastModifiedBy>Daniel Lizarralde</cp:lastModifiedBy>
  <cp:revision>5</cp:revision>
  <cp:lastPrinted>2020-09-16T01:24:36Z</cp:lastPrinted>
  <dcterms:created xsi:type="dcterms:W3CDTF">1999-08-06T16:39:09Z</dcterms:created>
  <dcterms:modified xsi:type="dcterms:W3CDTF">2023-12-01T15:11:23Z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