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c/OBSIC/Experiments/Boettcher_Gofar/Leg_2/Recover_Deploy_Plan/"/>
    </mc:Choice>
  </mc:AlternateContent>
  <xr:revisionPtr revIDLastSave="0" documentId="13_ncr:1_{7213E90D-4D87-C840-BA66-121CDF4037A0}" xr6:coauthVersionLast="46" xr6:coauthVersionMax="46" xr10:uidLastSave="{00000000-0000-0000-0000-000000000000}"/>
  <bookViews>
    <workbookView xWindow="5300" yWindow="960" windowWidth="37680" windowHeight="21140" tabRatio="500" activeTab="1" xr2:uid="{00000000-000D-0000-FFFF-FFFF00000000}"/>
  </bookViews>
  <sheets>
    <sheet name="Assumptions" sheetId="3" r:id="rId1"/>
    <sheet name="Plan" sheetId="4" r:id="rId2"/>
    <sheet name="Map" sheetId="2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5" i="4" l="1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4" i="4"/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2" i="2"/>
  <c r="X5" i="4" l="1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4" i="4"/>
  <c r="N56" i="4" l="1"/>
  <c r="P56" i="4" s="1"/>
  <c r="M56" i="4"/>
  <c r="O56" i="4" s="1"/>
  <c r="W55" i="4"/>
  <c r="N55" i="4"/>
  <c r="P55" i="4" s="1"/>
  <c r="M55" i="4"/>
  <c r="O55" i="4" s="1"/>
  <c r="U43" i="4"/>
  <c r="Y43" i="4" s="1"/>
  <c r="N43" i="4"/>
  <c r="M43" i="4"/>
  <c r="O43" i="4" s="1"/>
  <c r="U42" i="4"/>
  <c r="Y42" i="4" s="1"/>
  <c r="N42" i="4"/>
  <c r="M42" i="4"/>
  <c r="O42" i="4" s="1"/>
  <c r="U41" i="4"/>
  <c r="Y41" i="4" s="1"/>
  <c r="N41" i="4"/>
  <c r="M41" i="4"/>
  <c r="O41" i="4" s="1"/>
  <c r="U40" i="4"/>
  <c r="Y40" i="4" s="1"/>
  <c r="N40" i="4"/>
  <c r="M40" i="4"/>
  <c r="O40" i="4" s="1"/>
  <c r="U39" i="4"/>
  <c r="Y39" i="4" s="1"/>
  <c r="N39" i="4"/>
  <c r="M39" i="4"/>
  <c r="O39" i="4" s="1"/>
  <c r="U38" i="4"/>
  <c r="Y38" i="4" s="1"/>
  <c r="N38" i="4"/>
  <c r="M38" i="4"/>
  <c r="O38" i="4" s="1"/>
  <c r="U37" i="4"/>
  <c r="Y37" i="4" s="1"/>
  <c r="N37" i="4"/>
  <c r="M37" i="4"/>
  <c r="O37" i="4" s="1"/>
  <c r="U36" i="4"/>
  <c r="Y36" i="4" s="1"/>
  <c r="N36" i="4"/>
  <c r="M36" i="4"/>
  <c r="O36" i="4" s="1"/>
  <c r="U35" i="4"/>
  <c r="Y35" i="4" s="1"/>
  <c r="N35" i="4"/>
  <c r="M35" i="4"/>
  <c r="O35" i="4" s="1"/>
  <c r="U34" i="4"/>
  <c r="Y34" i="4" s="1"/>
  <c r="N34" i="4"/>
  <c r="M34" i="4"/>
  <c r="O34" i="4" s="1"/>
  <c r="U32" i="4"/>
  <c r="Y32" i="4" s="1"/>
  <c r="N32" i="4"/>
  <c r="M32" i="4"/>
  <c r="O32" i="4" s="1"/>
  <c r="U31" i="4"/>
  <c r="Y31" i="4" s="1"/>
  <c r="N31" i="4"/>
  <c r="M31" i="4"/>
  <c r="O31" i="4" s="1"/>
  <c r="U30" i="4"/>
  <c r="Y30" i="4" s="1"/>
  <c r="N30" i="4"/>
  <c r="M30" i="4"/>
  <c r="O30" i="4" s="1"/>
  <c r="U29" i="4"/>
  <c r="Y29" i="4" s="1"/>
  <c r="N29" i="4"/>
  <c r="M29" i="4"/>
  <c r="O29" i="4" s="1"/>
  <c r="U28" i="4"/>
  <c r="Y28" i="4" s="1"/>
  <c r="N28" i="4"/>
  <c r="M28" i="4"/>
  <c r="O28" i="4" s="1"/>
  <c r="U27" i="4"/>
  <c r="Y27" i="4" s="1"/>
  <c r="N27" i="4"/>
  <c r="M27" i="4"/>
  <c r="O27" i="4" s="1"/>
  <c r="U26" i="4"/>
  <c r="Y26" i="4" s="1"/>
  <c r="N26" i="4"/>
  <c r="M26" i="4"/>
  <c r="O26" i="4" s="1"/>
  <c r="U25" i="4"/>
  <c r="Y25" i="4" s="1"/>
  <c r="N25" i="4"/>
  <c r="M25" i="4"/>
  <c r="O25" i="4" s="1"/>
  <c r="U24" i="4"/>
  <c r="Y24" i="4" s="1"/>
  <c r="N24" i="4"/>
  <c r="M24" i="4"/>
  <c r="O24" i="4" s="1"/>
  <c r="U22" i="4"/>
  <c r="Y22" i="4" s="1"/>
  <c r="N22" i="4"/>
  <c r="M22" i="4"/>
  <c r="O22" i="4" s="1"/>
  <c r="U21" i="4"/>
  <c r="Y21" i="4" s="1"/>
  <c r="N21" i="4"/>
  <c r="M21" i="4"/>
  <c r="O21" i="4" s="1"/>
  <c r="U20" i="4"/>
  <c r="Y20" i="4" s="1"/>
  <c r="N20" i="4"/>
  <c r="M20" i="4"/>
  <c r="O20" i="4" s="1"/>
  <c r="U19" i="4"/>
  <c r="Y19" i="4" s="1"/>
  <c r="N19" i="4"/>
  <c r="M19" i="4"/>
  <c r="O19" i="4" s="1"/>
  <c r="U18" i="4"/>
  <c r="Y18" i="4" s="1"/>
  <c r="N18" i="4"/>
  <c r="M18" i="4"/>
  <c r="O18" i="4" s="1"/>
  <c r="U17" i="4"/>
  <c r="Y17" i="4" s="1"/>
  <c r="N17" i="4"/>
  <c r="M17" i="4"/>
  <c r="O17" i="4" s="1"/>
  <c r="U16" i="4"/>
  <c r="Y16" i="4" s="1"/>
  <c r="N16" i="4"/>
  <c r="M16" i="4"/>
  <c r="O16" i="4" s="1"/>
  <c r="U15" i="4"/>
  <c r="Y15" i="4" s="1"/>
  <c r="N15" i="4"/>
  <c r="M15" i="4"/>
  <c r="O15" i="4" s="1"/>
  <c r="U14" i="4"/>
  <c r="Y14" i="4" s="1"/>
  <c r="N14" i="4"/>
  <c r="M14" i="4"/>
  <c r="O14" i="4" s="1"/>
  <c r="U54" i="4"/>
  <c r="Y54" i="4" s="1"/>
  <c r="N54" i="4"/>
  <c r="M54" i="4"/>
  <c r="O54" i="4" s="1"/>
  <c r="U53" i="4"/>
  <c r="Y53" i="4" s="1"/>
  <c r="N53" i="4"/>
  <c r="M53" i="4"/>
  <c r="O53" i="4" s="1"/>
  <c r="U52" i="4"/>
  <c r="Y52" i="4" s="1"/>
  <c r="N52" i="4"/>
  <c r="M52" i="4"/>
  <c r="O52" i="4" s="1"/>
  <c r="U51" i="4"/>
  <c r="Y51" i="4" s="1"/>
  <c r="N51" i="4"/>
  <c r="M51" i="4"/>
  <c r="O51" i="4" s="1"/>
  <c r="U50" i="4"/>
  <c r="Y50" i="4" s="1"/>
  <c r="N50" i="4"/>
  <c r="M50" i="4"/>
  <c r="O50" i="4" s="1"/>
  <c r="U49" i="4"/>
  <c r="Y49" i="4" s="1"/>
  <c r="N49" i="4"/>
  <c r="M49" i="4"/>
  <c r="O49" i="4" s="1"/>
  <c r="U48" i="4"/>
  <c r="Y48" i="4" s="1"/>
  <c r="N48" i="4"/>
  <c r="M48" i="4"/>
  <c r="O48" i="4" s="1"/>
  <c r="U47" i="4"/>
  <c r="Y47" i="4" s="1"/>
  <c r="N47" i="4"/>
  <c r="M47" i="4"/>
  <c r="O47" i="4" s="1"/>
  <c r="U46" i="4"/>
  <c r="Y46" i="4" s="1"/>
  <c r="N46" i="4"/>
  <c r="M46" i="4"/>
  <c r="O46" i="4" s="1"/>
  <c r="U45" i="4"/>
  <c r="Y45" i="4" s="1"/>
  <c r="N45" i="4"/>
  <c r="M45" i="4"/>
  <c r="O45" i="4" s="1"/>
  <c r="U44" i="4"/>
  <c r="Y44" i="4" s="1"/>
  <c r="N44" i="4"/>
  <c r="M44" i="4"/>
  <c r="O44" i="4" s="1"/>
  <c r="U33" i="4"/>
  <c r="Y33" i="4" s="1"/>
  <c r="N33" i="4"/>
  <c r="M33" i="4"/>
  <c r="O33" i="4" s="1"/>
  <c r="U23" i="4"/>
  <c r="Y23" i="4" s="1"/>
  <c r="N23" i="4"/>
  <c r="M23" i="4"/>
  <c r="O23" i="4" s="1"/>
  <c r="U13" i="4"/>
  <c r="Y13" i="4" s="1"/>
  <c r="N13" i="4"/>
  <c r="M13" i="4"/>
  <c r="O13" i="4" s="1"/>
  <c r="U12" i="4"/>
  <c r="Y12" i="4" s="1"/>
  <c r="N12" i="4"/>
  <c r="M12" i="4"/>
  <c r="O12" i="4" s="1"/>
  <c r="U11" i="4"/>
  <c r="Y11" i="4" s="1"/>
  <c r="N11" i="4"/>
  <c r="M11" i="4"/>
  <c r="O11" i="4" s="1"/>
  <c r="U10" i="4"/>
  <c r="Y10" i="4" s="1"/>
  <c r="N10" i="4"/>
  <c r="M10" i="4"/>
  <c r="O10" i="4" s="1"/>
  <c r="U9" i="4"/>
  <c r="Y9" i="4" s="1"/>
  <c r="N9" i="4"/>
  <c r="M9" i="4"/>
  <c r="O9" i="4" s="1"/>
  <c r="U8" i="4"/>
  <c r="Y8" i="4" s="1"/>
  <c r="N8" i="4"/>
  <c r="M8" i="4"/>
  <c r="O8" i="4" s="1"/>
  <c r="U7" i="4"/>
  <c r="Y7" i="4" s="1"/>
  <c r="N7" i="4"/>
  <c r="M7" i="4"/>
  <c r="O7" i="4" s="1"/>
  <c r="U6" i="4"/>
  <c r="Y6" i="4" s="1"/>
  <c r="N6" i="4"/>
  <c r="M6" i="4"/>
  <c r="O6" i="4" s="1"/>
  <c r="U5" i="4"/>
  <c r="Y5" i="4" s="1"/>
  <c r="N5" i="4"/>
  <c r="M5" i="4"/>
  <c r="O5" i="4" s="1"/>
  <c r="U4" i="4"/>
  <c r="Y4" i="4" s="1"/>
  <c r="N4" i="4"/>
  <c r="M4" i="4"/>
  <c r="S3" i="4"/>
  <c r="N3" i="4"/>
  <c r="P3" i="4" s="1"/>
  <c r="M3" i="4"/>
  <c r="O3" i="4" s="1"/>
  <c r="N2" i="4"/>
  <c r="P2" i="4" s="1"/>
  <c r="M2" i="4"/>
  <c r="O2" i="4" s="1"/>
  <c r="P45" i="4" l="1"/>
  <c r="Q45" i="4" s="1"/>
  <c r="R45" i="4" s="1"/>
  <c r="T45" i="4" s="1"/>
  <c r="C43" i="2"/>
  <c r="P42" i="4"/>
  <c r="C40" i="2"/>
  <c r="P10" i="4"/>
  <c r="Q10" i="4" s="1"/>
  <c r="R10" i="4" s="1"/>
  <c r="T10" i="4" s="1"/>
  <c r="C8" i="2"/>
  <c r="P39" i="4"/>
  <c r="C37" i="2"/>
  <c r="P5" i="4"/>
  <c r="C3" i="2"/>
  <c r="P53" i="4"/>
  <c r="Q53" i="4" s="1"/>
  <c r="R53" i="4" s="1"/>
  <c r="T53" i="4" s="1"/>
  <c r="C51" i="2"/>
  <c r="P29" i="4"/>
  <c r="Q29" i="4" s="1"/>
  <c r="R29" i="4" s="1"/>
  <c r="T29" i="4" s="1"/>
  <c r="C27" i="2"/>
  <c r="P46" i="4"/>
  <c r="C44" i="2"/>
  <c r="P30" i="4"/>
  <c r="C28" i="2"/>
  <c r="P9" i="4"/>
  <c r="C7" i="2"/>
  <c r="P25" i="4"/>
  <c r="Q25" i="4" s="1"/>
  <c r="R25" i="4" s="1"/>
  <c r="T25" i="4" s="1"/>
  <c r="C23" i="2"/>
  <c r="P17" i="4"/>
  <c r="C15" i="2"/>
  <c r="P43" i="4"/>
  <c r="C41" i="2"/>
  <c r="P11" i="4"/>
  <c r="C9" i="2"/>
  <c r="P14" i="4"/>
  <c r="C12" i="2"/>
  <c r="P22" i="4"/>
  <c r="Q22" i="4" s="1"/>
  <c r="R22" i="4" s="1"/>
  <c r="T22" i="4" s="1"/>
  <c r="C20" i="2"/>
  <c r="P27" i="4"/>
  <c r="Q27" i="4" s="1"/>
  <c r="R27" i="4" s="1"/>
  <c r="T27" i="4" s="1"/>
  <c r="C25" i="2"/>
  <c r="P31" i="4"/>
  <c r="Q31" i="4" s="1"/>
  <c r="R31" i="4" s="1"/>
  <c r="T31" i="4" s="1"/>
  <c r="C29" i="2"/>
  <c r="P36" i="4"/>
  <c r="Q36" i="4" s="1"/>
  <c r="R36" i="4" s="1"/>
  <c r="T36" i="4" s="1"/>
  <c r="C34" i="2"/>
  <c r="P40" i="4"/>
  <c r="C38" i="2"/>
  <c r="P49" i="4"/>
  <c r="C47" i="2"/>
  <c r="P38" i="4"/>
  <c r="C36" i="2"/>
  <c r="P6" i="4"/>
  <c r="Q6" i="4" s="1"/>
  <c r="R6" i="4" s="1"/>
  <c r="T6" i="4" s="1"/>
  <c r="C4" i="2"/>
  <c r="P54" i="4"/>
  <c r="Q54" i="4" s="1"/>
  <c r="R54" i="4" s="1"/>
  <c r="T54" i="4" s="1"/>
  <c r="C52" i="2"/>
  <c r="P26" i="4"/>
  <c r="Q26" i="4" s="1"/>
  <c r="R26" i="4" s="1"/>
  <c r="T26" i="4" s="1"/>
  <c r="C24" i="2"/>
  <c r="P47" i="4"/>
  <c r="C45" i="2"/>
  <c r="P16" i="4"/>
  <c r="C14" i="2"/>
  <c r="P34" i="4"/>
  <c r="Q34" i="4" s="1"/>
  <c r="R34" i="4" s="1"/>
  <c r="T34" i="4" s="1"/>
  <c r="C32" i="2"/>
  <c r="P50" i="4"/>
  <c r="C48" i="2"/>
  <c r="P35" i="4"/>
  <c r="C33" i="2"/>
  <c r="P7" i="4"/>
  <c r="Q7" i="4" s="1"/>
  <c r="R7" i="4" s="1"/>
  <c r="T7" i="4" s="1"/>
  <c r="C5" i="2"/>
  <c r="P51" i="4"/>
  <c r="C49" i="2"/>
  <c r="P13" i="4"/>
  <c r="C11" i="2"/>
  <c r="P20" i="4"/>
  <c r="C18" i="2"/>
  <c r="P23" i="4"/>
  <c r="Q23" i="4" s="1"/>
  <c r="R23" i="4" s="1"/>
  <c r="T23" i="4" s="1"/>
  <c r="C21" i="2"/>
  <c r="P21" i="4"/>
  <c r="Q20" i="4" s="1"/>
  <c r="R20" i="4" s="1"/>
  <c r="T20" i="4" s="1"/>
  <c r="C19" i="2"/>
  <c r="P33" i="4"/>
  <c r="Q33" i="4" s="1"/>
  <c r="R33" i="4" s="1"/>
  <c r="T33" i="4" s="1"/>
  <c r="C31" i="2"/>
  <c r="P18" i="4"/>
  <c r="C16" i="2"/>
  <c r="O4" i="4"/>
  <c r="B2" i="2"/>
  <c r="P4" i="4"/>
  <c r="Q3" i="4" s="1"/>
  <c r="R3" i="4" s="1"/>
  <c r="T3" i="4" s="1"/>
  <c r="C2" i="2"/>
  <c r="P8" i="4"/>
  <c r="Q8" i="4" s="1"/>
  <c r="R8" i="4" s="1"/>
  <c r="T8" i="4" s="1"/>
  <c r="C6" i="2"/>
  <c r="P12" i="4"/>
  <c r="Q11" i="4" s="1"/>
  <c r="R11" i="4" s="1"/>
  <c r="T11" i="4" s="1"/>
  <c r="C10" i="2"/>
  <c r="P44" i="4"/>
  <c r="Q43" i="4" s="1"/>
  <c r="R43" i="4" s="1"/>
  <c r="T43" i="4" s="1"/>
  <c r="C42" i="2"/>
  <c r="P48" i="4"/>
  <c r="C46" i="2"/>
  <c r="P52" i="4"/>
  <c r="C50" i="2"/>
  <c r="P15" i="4"/>
  <c r="C13" i="2"/>
  <c r="P19" i="4"/>
  <c r="Q19" i="4" s="1"/>
  <c r="R19" i="4" s="1"/>
  <c r="T19" i="4" s="1"/>
  <c r="C17" i="2"/>
  <c r="P24" i="4"/>
  <c r="C22" i="2"/>
  <c r="P28" i="4"/>
  <c r="Q28" i="4" s="1"/>
  <c r="R28" i="4" s="1"/>
  <c r="T28" i="4" s="1"/>
  <c r="C26" i="2"/>
  <c r="P32" i="4"/>
  <c r="C30" i="2"/>
  <c r="P37" i="4"/>
  <c r="Q37" i="4" s="1"/>
  <c r="R37" i="4" s="1"/>
  <c r="T37" i="4" s="1"/>
  <c r="C35" i="2"/>
  <c r="P41" i="4"/>
  <c r="Q41" i="4" s="1"/>
  <c r="R41" i="4" s="1"/>
  <c r="T41" i="4" s="1"/>
  <c r="C39" i="2"/>
  <c r="Q5" i="4"/>
  <c r="R5" i="4" s="1"/>
  <c r="T5" i="4" s="1"/>
  <c r="Q49" i="4"/>
  <c r="R49" i="4" s="1"/>
  <c r="T49" i="4" s="1"/>
  <c r="Q16" i="4"/>
  <c r="R16" i="4" s="1"/>
  <c r="T16" i="4" s="1"/>
  <c r="Q9" i="4"/>
  <c r="R9" i="4" s="1"/>
  <c r="T9" i="4" s="1"/>
  <c r="Q40" i="4"/>
  <c r="R40" i="4" s="1"/>
  <c r="T40" i="4" s="1"/>
  <c r="Q44" i="4"/>
  <c r="R44" i="4" s="1"/>
  <c r="T44" i="4" s="1"/>
  <c r="Q48" i="4"/>
  <c r="R48" i="4" s="1"/>
  <c r="T48" i="4" s="1"/>
  <c r="Q52" i="4"/>
  <c r="R52" i="4" s="1"/>
  <c r="T52" i="4" s="1"/>
  <c r="Q15" i="4"/>
  <c r="R15" i="4" s="1"/>
  <c r="T15" i="4" s="1"/>
  <c r="Q55" i="4"/>
  <c r="R55" i="4" s="1"/>
  <c r="T55" i="4" s="1"/>
  <c r="Q24" i="4"/>
  <c r="R24" i="4" s="1"/>
  <c r="T24" i="4" s="1"/>
  <c r="Q13" i="4"/>
  <c r="R13" i="4" s="1"/>
  <c r="T13" i="4" s="1"/>
  <c r="Q32" i="4"/>
  <c r="R32" i="4" s="1"/>
  <c r="T32" i="4" s="1"/>
  <c r="Q38" i="4"/>
  <c r="R38" i="4" s="1"/>
  <c r="T38" i="4" s="1"/>
  <c r="Q2" i="4"/>
  <c r="R2" i="4" s="1"/>
  <c r="T2" i="4" s="1"/>
  <c r="AA2" i="4" s="1"/>
  <c r="AB2" i="4" s="1"/>
  <c r="Q46" i="4"/>
  <c r="R46" i="4" s="1"/>
  <c r="T46" i="4" s="1"/>
  <c r="Q42" i="4"/>
  <c r="R42" i="4" s="1"/>
  <c r="T42" i="4" s="1"/>
  <c r="Q50" i="4"/>
  <c r="R50" i="4" s="1"/>
  <c r="T50" i="4" s="1"/>
  <c r="Q17" i="4"/>
  <c r="R17" i="4" s="1"/>
  <c r="T17" i="4" s="1"/>
  <c r="Q47" i="4"/>
  <c r="R47" i="4" s="1"/>
  <c r="T47" i="4" s="1"/>
  <c r="Q51" i="4"/>
  <c r="R51" i="4" s="1"/>
  <c r="T51" i="4" s="1"/>
  <c r="Q14" i="4"/>
  <c r="R14" i="4" s="1"/>
  <c r="T14" i="4" s="1"/>
  <c r="Q30" i="4"/>
  <c r="R30" i="4" s="1"/>
  <c r="T30" i="4" s="1"/>
  <c r="Q35" i="4"/>
  <c r="R35" i="4" s="1"/>
  <c r="T35" i="4" s="1"/>
  <c r="Q39" i="4"/>
  <c r="R39" i="4" s="1"/>
  <c r="T39" i="4" s="1"/>
  <c r="Q12" i="4" l="1"/>
  <c r="R12" i="4" s="1"/>
  <c r="T12" i="4" s="1"/>
  <c r="Q18" i="4"/>
  <c r="R18" i="4" s="1"/>
  <c r="T18" i="4" s="1"/>
  <c r="Q4" i="4"/>
  <c r="R4" i="4" s="1"/>
  <c r="T4" i="4" s="1"/>
  <c r="Q21" i="4"/>
  <c r="R21" i="4" s="1"/>
  <c r="T21" i="4" s="1"/>
  <c r="Z3" i="4"/>
  <c r="AA3" i="4"/>
  <c r="Z4" i="4" l="1"/>
  <c r="AA4" i="4" s="1"/>
  <c r="AB3" i="4"/>
  <c r="AB4" i="4" l="1"/>
  <c r="AC4" i="4" s="1"/>
  <c r="Z5" i="4"/>
  <c r="AA5" i="4" s="1"/>
  <c r="AB5" i="4" l="1"/>
  <c r="AC5" i="4" s="1"/>
  <c r="Z6" i="4"/>
  <c r="AA6" i="4" s="1"/>
  <c r="Z7" i="4" l="1"/>
  <c r="AA7" i="4" s="1"/>
  <c r="AB6" i="4"/>
  <c r="AC6" i="4" s="1"/>
  <c r="C1" i="2"/>
  <c r="B1" i="2"/>
  <c r="A1" i="2"/>
  <c r="AB7" i="4" l="1"/>
  <c r="AC7" i="4" s="1"/>
  <c r="Z8" i="4"/>
  <c r="AA8" i="4" s="1"/>
  <c r="Z9" i="4" l="1"/>
  <c r="AA9" i="4" s="1"/>
  <c r="AB8" i="4"/>
  <c r="AC8" i="4" s="1"/>
  <c r="Z10" i="4" l="1"/>
  <c r="AA10" i="4" s="1"/>
  <c r="AB9" i="4"/>
  <c r="AC9" i="4" s="1"/>
  <c r="Z11" i="4" l="1"/>
  <c r="AA11" i="4" s="1"/>
  <c r="AB10" i="4"/>
  <c r="AC10" i="4" s="1"/>
  <c r="Z12" i="4" l="1"/>
  <c r="AA12" i="4" s="1"/>
  <c r="AB11" i="4"/>
  <c r="AC11" i="4" s="1"/>
  <c r="AB12" i="4" l="1"/>
  <c r="AC12" i="4" s="1"/>
  <c r="Z13" i="4"/>
  <c r="AA13" i="4" s="1"/>
  <c r="AB13" i="4" l="1"/>
  <c r="AC13" i="4" s="1"/>
  <c r="Z14" i="4" l="1"/>
  <c r="AA14" i="4" s="1"/>
  <c r="AB14" i="4" l="1"/>
  <c r="AC14" i="4" s="1"/>
  <c r="Z15" i="4"/>
  <c r="AA15" i="4" s="1"/>
  <c r="Z16" i="4" l="1"/>
  <c r="AA16" i="4" s="1"/>
  <c r="AB15" i="4"/>
  <c r="AC15" i="4" s="1"/>
  <c r="Z17" i="4" l="1"/>
  <c r="AA17" i="4" s="1"/>
  <c r="AB16" i="4"/>
  <c r="AC16" i="4" s="1"/>
  <c r="AB17" i="4" l="1"/>
  <c r="AC17" i="4" s="1"/>
  <c r="Z18" i="4"/>
  <c r="AA18" i="4" s="1"/>
  <c r="Z19" i="4" l="1"/>
  <c r="AA19" i="4" s="1"/>
  <c r="AB18" i="4"/>
  <c r="AC18" i="4" s="1"/>
  <c r="Z20" i="4" l="1"/>
  <c r="AA20" i="4" s="1"/>
  <c r="AB19" i="4"/>
  <c r="AC19" i="4" s="1"/>
  <c r="AB20" i="4" l="1"/>
  <c r="AC20" i="4" s="1"/>
  <c r="Z21" i="4"/>
  <c r="AA21" i="4" s="1"/>
  <c r="Z22" i="4" l="1"/>
  <c r="AA22" i="4" s="1"/>
  <c r="Z23" i="4" s="1"/>
  <c r="AA23" i="4" s="1"/>
  <c r="AB21" i="4"/>
  <c r="AC21" i="4" s="1"/>
  <c r="Z24" i="4" l="1"/>
  <c r="AA24" i="4" s="1"/>
  <c r="AB22" i="4"/>
  <c r="AC22" i="4" s="1"/>
  <c r="AB23" i="4" l="1"/>
  <c r="AC23" i="4" s="1"/>
  <c r="AB24" i="4"/>
  <c r="AC24" i="4" s="1"/>
  <c r="Z25" i="4"/>
  <c r="AA25" i="4" s="1"/>
  <c r="Z26" i="4" l="1"/>
  <c r="AA26" i="4" s="1"/>
  <c r="AB25" i="4"/>
  <c r="AC25" i="4" s="1"/>
  <c r="Z27" i="4" l="1"/>
  <c r="AA27" i="4" s="1"/>
  <c r="AB26" i="4"/>
  <c r="AC26" i="4" s="1"/>
  <c r="AB27" i="4" l="1"/>
  <c r="AC27" i="4" s="1"/>
  <c r="Z28" i="4"/>
  <c r="AA28" i="4" s="1"/>
  <c r="Z29" i="4" l="1"/>
  <c r="AA29" i="4" s="1"/>
  <c r="AB28" i="4"/>
  <c r="AC28" i="4" s="1"/>
  <c r="Z30" i="4" l="1"/>
  <c r="AA30" i="4" s="1"/>
  <c r="AB29" i="4"/>
  <c r="AC29" i="4" s="1"/>
  <c r="AB30" i="4" l="1"/>
  <c r="AC30" i="4" s="1"/>
  <c r="Z31" i="4"/>
  <c r="AA31" i="4" s="1"/>
  <c r="Z32" i="4" l="1"/>
  <c r="AA32" i="4" s="1"/>
  <c r="Z33" i="4" s="1"/>
  <c r="AA33" i="4" s="1"/>
  <c r="AB31" i="4"/>
  <c r="AC31" i="4" s="1"/>
  <c r="Z34" i="4" l="1"/>
  <c r="AA34" i="4" s="1"/>
  <c r="AB32" i="4"/>
  <c r="AC32" i="4" s="1"/>
  <c r="AB33" i="4" l="1"/>
  <c r="AC33" i="4" s="1"/>
  <c r="AB34" i="4"/>
  <c r="AC34" i="4" s="1"/>
  <c r="Z35" i="4"/>
  <c r="AA35" i="4" s="1"/>
  <c r="Z36" i="4" l="1"/>
  <c r="AA36" i="4" s="1"/>
  <c r="AB35" i="4"/>
  <c r="AC35" i="4" s="1"/>
  <c r="Z37" i="4" l="1"/>
  <c r="AA37" i="4" s="1"/>
  <c r="AB36" i="4"/>
  <c r="AC36" i="4" s="1"/>
  <c r="AB37" i="4" l="1"/>
  <c r="AC37" i="4" s="1"/>
  <c r="Z38" i="4"/>
  <c r="AA38" i="4" s="1"/>
  <c r="Z39" i="4" l="1"/>
  <c r="AA39" i="4" s="1"/>
  <c r="AB38" i="4"/>
  <c r="AC38" i="4" s="1"/>
  <c r="Z40" i="4" l="1"/>
  <c r="AA40" i="4" s="1"/>
  <c r="AB39" i="4"/>
  <c r="AC39" i="4" s="1"/>
  <c r="AB40" i="4" l="1"/>
  <c r="AC40" i="4" s="1"/>
  <c r="Z41" i="4"/>
  <c r="AA41" i="4" s="1"/>
  <c r="Z42" i="4" l="1"/>
  <c r="AA42" i="4" s="1"/>
  <c r="AB41" i="4"/>
  <c r="AC41" i="4" s="1"/>
  <c r="Z43" i="4" l="1"/>
  <c r="AA43" i="4" s="1"/>
  <c r="Z44" i="4" s="1"/>
  <c r="AA44" i="4" s="1"/>
  <c r="AB42" i="4"/>
  <c r="AC42" i="4" s="1"/>
  <c r="Z45" i="4" l="1"/>
  <c r="AA45" i="4" s="1"/>
  <c r="AB43" i="4"/>
  <c r="AC43" i="4" s="1"/>
  <c r="AB44" i="4" l="1"/>
  <c r="AC44" i="4" s="1"/>
  <c r="AB45" i="4"/>
  <c r="AC45" i="4" s="1"/>
  <c r="Z46" i="4"/>
  <c r="AA46" i="4" s="1"/>
  <c r="Z47" i="4" l="1"/>
  <c r="AA47" i="4" s="1"/>
  <c r="AB46" i="4"/>
  <c r="AC46" i="4" s="1"/>
  <c r="AB47" i="4" l="1"/>
  <c r="AC47" i="4" s="1"/>
  <c r="Z48" i="4"/>
  <c r="AA48" i="4" s="1"/>
  <c r="Z49" i="4" l="1"/>
  <c r="AA49" i="4" s="1"/>
  <c r="AB48" i="4"/>
  <c r="AC48" i="4" s="1"/>
  <c r="Z50" i="4" l="1"/>
  <c r="AA50" i="4" s="1"/>
  <c r="AB49" i="4"/>
  <c r="AC49" i="4" s="1"/>
  <c r="Z51" i="4" l="1"/>
  <c r="AA51" i="4" s="1"/>
  <c r="AB50" i="4"/>
  <c r="AC50" i="4" s="1"/>
  <c r="Z52" i="4" l="1"/>
  <c r="AA52" i="4" s="1"/>
  <c r="AB51" i="4"/>
  <c r="AC51" i="4" s="1"/>
  <c r="AB52" i="4" l="1"/>
  <c r="AC52" i="4" s="1"/>
  <c r="Z53" i="4"/>
  <c r="AA53" i="4" s="1"/>
  <c r="Z54" i="4" s="1"/>
  <c r="AA54" i="4" s="1"/>
  <c r="AB53" i="4" l="1"/>
  <c r="AC53" i="4" s="1"/>
  <c r="AB54" i="4" l="1"/>
  <c r="AC54" i="4" s="1"/>
  <c r="Z55" i="4"/>
  <c r="AA55" i="4" s="1"/>
  <c r="Z56" i="4" l="1"/>
  <c r="AA56" i="4" s="1"/>
  <c r="AB55" i="4"/>
  <c r="AC55" i="4" s="1"/>
  <c r="AB56" i="4" l="1"/>
  <c r="AC56" i="4" s="1"/>
</calcChain>
</file>

<file path=xl/sharedStrings.xml><?xml version="1.0" encoding="utf-8"?>
<sst xmlns="http://schemas.openxmlformats.org/spreadsheetml/2006/main" count="306" uniqueCount="148">
  <si>
    <t>N</t>
  </si>
  <si>
    <t>W</t>
  </si>
  <si>
    <t>WHOI OBS I.D.</t>
  </si>
  <si>
    <t>Site Name</t>
  </si>
  <si>
    <t>Site Latitude (deg)</t>
    <phoneticPr fontId="0"/>
  </si>
  <si>
    <t>Site Latitude (min)</t>
    <phoneticPr fontId="0"/>
  </si>
  <si>
    <t>Site Latitude (hemi)</t>
    <phoneticPr fontId="0"/>
  </si>
  <si>
    <t>Site Longitude (deg)</t>
    <phoneticPr fontId="0"/>
  </si>
  <si>
    <t>Site Longitude (min)</t>
    <phoneticPr fontId="0"/>
  </si>
  <si>
    <t>Site Longitude (hemi)</t>
    <phoneticPr fontId="0"/>
  </si>
  <si>
    <t>Station Depth (m)</t>
  </si>
  <si>
    <t>Site Latitude (decimal degrees)</t>
    <phoneticPr fontId="0"/>
  </si>
  <si>
    <t>Site Longitude (decimal degrees)</t>
    <phoneticPr fontId="0"/>
  </si>
  <si>
    <t>Site Co-Latitude (radians)</t>
    <phoneticPr fontId="1"/>
  </si>
  <si>
    <t>Site Longitude (radians)</t>
    <phoneticPr fontId="1"/>
  </si>
  <si>
    <t>Distance to Following Site (km)</t>
    <phoneticPr fontId="1"/>
  </si>
  <si>
    <t>Distance to Following Site (nm)</t>
    <phoneticPr fontId="1"/>
  </si>
  <si>
    <t>Ship Speed (knots)</t>
    <phoneticPr fontId="1"/>
  </si>
  <si>
    <t>Time to Following Site (decimal hrs)</t>
    <phoneticPr fontId="1"/>
  </si>
  <si>
    <t>Time On Site (hours)</t>
    <phoneticPr fontId="1"/>
  </si>
  <si>
    <t>OBS Survey Time (hours)</t>
  </si>
  <si>
    <t>Site Departure Date and Time (local)</t>
  </si>
  <si>
    <t>Arrival Time Next Site (local)</t>
  </si>
  <si>
    <t>Cumulative Time to Next Station  (hrs)</t>
  </si>
  <si>
    <t>S</t>
  </si>
  <si>
    <t>WP-Out-01</t>
  </si>
  <si>
    <t>San Diego (MARFAC)</t>
  </si>
  <si>
    <t>G10</t>
  </si>
  <si>
    <t>G01</t>
  </si>
  <si>
    <t>G02</t>
  </si>
  <si>
    <t>G03</t>
  </si>
  <si>
    <t>G04</t>
  </si>
  <si>
    <t>G05</t>
  </si>
  <si>
    <t>G06</t>
  </si>
  <si>
    <t>G07</t>
  </si>
  <si>
    <t>G08</t>
  </si>
  <si>
    <t>G09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</si>
  <si>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</si>
  <si>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</si>
  <si>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</si>
  <si>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</si>
  <si>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</si>
  <si>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</si>
  <si>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</si>
  <si>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</si>
  <si>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</si>
  <si>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</si>
  <si>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</si>
  <si>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Ship Transit Speed (knots)</t>
  </si>
  <si>
    <t>OBS Rise Rate (meters/minute)</t>
  </si>
  <si>
    <t>OBS Type</t>
  </si>
  <si>
    <t>SMOBS</t>
  </si>
  <si>
    <t>ARRA</t>
  </si>
  <si>
    <t>SPOBS</t>
  </si>
  <si>
    <t>Abalone</t>
  </si>
  <si>
    <t>A2_01</t>
  </si>
  <si>
    <t>A2_02</t>
  </si>
  <si>
    <t>A2_03</t>
  </si>
  <si>
    <t>A2_04</t>
  </si>
  <si>
    <t>A2_05</t>
  </si>
  <si>
    <t>A2_06</t>
  </si>
  <si>
    <t>A2_07</t>
  </si>
  <si>
    <t>A2_08</t>
  </si>
  <si>
    <t>A2_09</t>
  </si>
  <si>
    <t>A2_10</t>
  </si>
  <si>
    <t>A1_01</t>
  </si>
  <si>
    <t>A1_02</t>
  </si>
  <si>
    <t>A1_03</t>
  </si>
  <si>
    <t>A1_04</t>
  </si>
  <si>
    <t>A1_05</t>
  </si>
  <si>
    <t>A1_06</t>
  </si>
  <si>
    <t>A1_07</t>
  </si>
  <si>
    <t>A1_08</t>
  </si>
  <si>
    <t>A1_09</t>
  </si>
  <si>
    <t>A1_10</t>
  </si>
  <si>
    <t>A3_01</t>
  </si>
  <si>
    <t>A3_02</t>
  </si>
  <si>
    <t>A3_03</t>
  </si>
  <si>
    <t>A3_04</t>
  </si>
  <si>
    <t>A3_05</t>
  </si>
  <si>
    <t>A3_06</t>
  </si>
  <si>
    <t>A3_07</t>
  </si>
  <si>
    <t>A3_08</t>
  </si>
  <si>
    <t>A3_09</t>
  </si>
  <si>
    <t>A3_10</t>
  </si>
  <si>
    <t>Deployment Order</t>
  </si>
  <si>
    <t>S83</t>
  </si>
  <si>
    <t>S43</t>
  </si>
  <si>
    <t>S81</t>
  </si>
  <si>
    <t>S89</t>
  </si>
  <si>
    <t>S33</t>
  </si>
  <si>
    <t>S82</t>
  </si>
  <si>
    <t>S74</t>
  </si>
  <si>
    <t>S20</t>
  </si>
  <si>
    <t>S28</t>
  </si>
  <si>
    <t>S14</t>
  </si>
  <si>
    <t>T111</t>
  </si>
  <si>
    <t>T107</t>
  </si>
  <si>
    <t>T110</t>
  </si>
  <si>
    <t>T112</t>
  </si>
  <si>
    <t>T108</t>
  </si>
  <si>
    <t>T113</t>
  </si>
  <si>
    <t>T104</t>
  </si>
  <si>
    <t>T101</t>
  </si>
  <si>
    <t>T109</t>
  </si>
  <si>
    <t>T102</t>
  </si>
  <si>
    <t>T106</t>
  </si>
  <si>
    <t>93</t>
  </si>
  <si>
    <t>126</t>
  </si>
  <si>
    <t>213</t>
  </si>
  <si>
    <t>233</t>
  </si>
  <si>
    <t>218</t>
  </si>
  <si>
    <t>124</t>
  </si>
  <si>
    <t>86</t>
  </si>
  <si>
    <t>63</t>
  </si>
  <si>
    <t>217</t>
  </si>
  <si>
    <t>T105</t>
  </si>
  <si>
    <t>210</t>
  </si>
  <si>
    <t>85</t>
  </si>
  <si>
    <t>209</t>
  </si>
  <si>
    <t>14</t>
  </si>
  <si>
    <t>02</t>
  </si>
  <si>
    <t>10</t>
  </si>
  <si>
    <t>12</t>
  </si>
  <si>
    <t>13</t>
  </si>
  <si>
    <t>06</t>
  </si>
  <si>
    <t>05</t>
  </si>
  <si>
    <t>200</t>
  </si>
  <si>
    <t>227</t>
  </si>
  <si>
    <t>92</t>
  </si>
  <si>
    <t>202</t>
  </si>
  <si>
    <t>234</t>
  </si>
  <si>
    <t>17</t>
  </si>
  <si>
    <t>219</t>
  </si>
  <si>
    <t>220</t>
  </si>
  <si>
    <t>T103</t>
  </si>
  <si>
    <t>On-Station OBS Release Time (hours)</t>
  </si>
  <si>
    <t>On-Station OBS Tie-Down Time (hours)</t>
  </si>
  <si>
    <t>OBS RiseTime (hours)</t>
  </si>
  <si>
    <t>Ship Inter-Station Speed</t>
  </si>
  <si>
    <t>Survey?</t>
  </si>
  <si>
    <t>On-Site Release Time (hours)</t>
  </si>
  <si>
    <t>On-Site OBS Secure Time (hours)</t>
  </si>
  <si>
    <t>BBOBS Rise Rate (meters/minute)</t>
  </si>
  <si>
    <t>ARRA Rise Rate (meters/minute)</t>
  </si>
  <si>
    <t>Abalone Rise Rate (meters/minute)</t>
  </si>
  <si>
    <t>SIO Modified-SPOBS Rise Rate (meters/minute)</t>
  </si>
  <si>
    <t>Cumulative Time to Next Station (days)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</si>
</sst>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"/>
    <numFmt numFmtId="165" formatCode="0.000"/>
    <numFmt numFmtId="166" formatCode="0.0"/>
    <numFmt numFmtId="167" formatCode="0.00000000"/>
    <numFmt numFmtId="168" formatCode="0.0000"/>
    <numFmt numFmtId="169" formatCode="yyyy\-mm\-dd\ hh:mm"/>
    <numFmt numFmtId="170" formatCode="00.0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Verdana"/>
      <family val="2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/>
    <xf numFmtId="0" fontId="0" fillId="2" borderId="1" xfId="0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165" fontId="0" fillId="2" borderId="1" xfId="0" applyNumberFormat="1" applyFill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Font="1" applyFill="1" applyBorder="1" applyAlignment="1">
      <alignment horizontal="center" vertical="top" wrapText="1"/>
    </xf>
    <xf numFmtId="22" fontId="0" fillId="0" borderId="0" xfId="0" applyNumberFormat="1" applyFont="1" applyFill="1" applyBorder="1" applyAlignment="1">
      <alignment horizontal="center" vertical="top" wrapText="1"/>
    </xf>
    <xf numFmtId="166" fontId="0" fillId="0" borderId="0" xfId="0" applyNumberFormat="1" applyFont="1" applyFill="1" applyBorder="1" applyAlignment="1">
      <alignment horizontal="center" vertical="top" wrapText="1"/>
    </xf>
    <xf numFmtId="22" fontId="0" fillId="0" borderId="0" xfId="0" applyNumberFormat="1" applyFill="1" applyAlignment="1">
      <alignment horizontal="center"/>
    </xf>
    <xf numFmtId="167" fontId="0" fillId="0" borderId="0" xfId="0" applyNumberFormat="1" applyFont="1" applyAlignment="1">
      <alignment horizontal="center"/>
    </xf>
    <xf numFmtId="168" fontId="0" fillId="0" borderId="0" xfId="0" applyNumberFormat="1" applyFill="1" applyBorder="1" applyAlignment="1">
      <alignment horizontal="center" vertical="top" wrapText="1"/>
    </xf>
    <xf numFmtId="168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top" wrapText="1"/>
    </xf>
    <xf numFmtId="166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3" borderId="0" xfId="0" applyFill="1" applyBorder="1" applyAlignment="1">
      <alignment horizontal="center" vertical="top" wrapText="1"/>
    </xf>
    <xf numFmtId="168" fontId="0" fillId="3" borderId="0" xfId="0" applyNumberFormat="1" applyFill="1" applyBorder="1" applyAlignment="1">
      <alignment horizontal="center" vertical="top" wrapText="1"/>
    </xf>
    <xf numFmtId="164" fontId="0" fillId="3" borderId="0" xfId="0" applyNumberFormat="1" applyFont="1" applyFill="1" applyAlignment="1">
      <alignment horizontal="center"/>
    </xf>
    <xf numFmtId="167" fontId="0" fillId="3" borderId="0" xfId="0" applyNumberFormat="1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 vertical="top" wrapText="1"/>
    </xf>
    <xf numFmtId="166" fontId="0" fillId="3" borderId="0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169" fontId="0" fillId="3" borderId="0" xfId="0" applyNumberFormat="1" applyFont="1" applyFill="1" applyBorder="1" applyAlignment="1">
      <alignment horizontal="center" vertical="top" wrapText="1"/>
    </xf>
    <xf numFmtId="164" fontId="0" fillId="0" borderId="0" xfId="0" applyNumberFormat="1" applyFont="1" applyFill="1" applyAlignment="1">
      <alignment horizontal="center"/>
    </xf>
    <xf numFmtId="167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169" fontId="0" fillId="0" borderId="0" xfId="0" applyNumberFormat="1" applyFont="1" applyFill="1" applyBorder="1" applyAlignment="1">
      <alignment horizontal="center" vertical="top" wrapText="1"/>
    </xf>
    <xf numFmtId="168" fontId="0" fillId="0" borderId="0" xfId="0" applyNumberFormat="1" applyFill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0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0" fontId="0" fillId="0" borderId="0" xfId="0" applyFill="1" applyBorder="1"/>
    <xf numFmtId="164" fontId="0" fillId="3" borderId="0" xfId="0" applyNumberFormat="1" applyFont="1" applyFill="1" applyBorder="1" applyAlignment="1">
      <alignment horizontal="center"/>
    </xf>
    <xf numFmtId="167" fontId="0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169" fontId="0" fillId="3" borderId="0" xfId="0" applyNumberFormat="1" applyFill="1" applyBorder="1" applyAlignment="1">
      <alignment horizontal="center"/>
    </xf>
    <xf numFmtId="16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9" fontId="0" fillId="0" borderId="0" xfId="0" applyNumberForma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0" fontId="4" fillId="0" borderId="0" xfId="0" applyFont="1" applyFill="1" applyBorder="1"/>
  </cellXfs>
  <cellStyles count="2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Normal" xfId="0" builtinId="0"/>
  </cellStyles>
  <dxfs count="8">
    <dxf>
      <font>
        <condense val="0"/>
        <extend val="0"/>
        <color indexed="14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4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4"/>
      </font>
      <fill>
        <patternFill>
          <bgColor indexed="45"/>
        </patternFill>
      </fill>
    </dxf>
    <dxf>
      <font>
        <condense val="0"/>
        <extend val="0"/>
        <color indexed="14"/>
      </font>
      <fill>
        <patternFill>
          <bgColor indexed="45"/>
        </patternFill>
      </fill>
    </dxf>
    <dxf>
      <font>
        <condense val="0"/>
        <extend val="0"/>
        <color indexed="14"/>
      </font>
      <fill>
        <patternFill>
          <bgColor indexed="45"/>
        </patternFill>
      </fill>
    </dxf>
    <dxf>
      <font>
        <condense val="0"/>
        <extend val="0"/>
        <color indexed="14"/>
      </font>
      <fill>
        <patternFill>
          <bgColor indexed="4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078014221674219E-2"/>
          <c:y val="0.17188464092470268"/>
          <c:w val="0.93766044523814451"/>
          <c:h val="0.80595255116143849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Plan!$N$4:$N$54</c:f>
              <c:numCache>
                <c:formatCode>0.00000</c:formatCode>
                <c:ptCount val="51"/>
                <c:pt idx="0">
                  <c:v>-104.80721666666666</c:v>
                </c:pt>
                <c:pt idx="1">
                  <c:v>-104.8155</c:v>
                </c:pt>
                <c:pt idx="2">
                  <c:v>-104.84141666666666</c:v>
                </c:pt>
                <c:pt idx="3">
                  <c:v>-104.85991666666666</c:v>
                </c:pt>
                <c:pt idx="4">
                  <c:v>-104.90426666666667</c:v>
                </c:pt>
                <c:pt idx="5">
                  <c:v>-104.91374999999999</c:v>
                </c:pt>
                <c:pt idx="6">
                  <c:v>-104.94806666666666</c:v>
                </c:pt>
                <c:pt idx="7">
                  <c:v>-104.94846666666666</c:v>
                </c:pt>
                <c:pt idx="8">
                  <c:v>-104.99306666666666</c:v>
                </c:pt>
                <c:pt idx="9">
                  <c:v>-105.01986666666667</c:v>
                </c:pt>
                <c:pt idx="10">
                  <c:v>-105.98014499999999</c:v>
                </c:pt>
                <c:pt idx="11">
                  <c:v>-105.97652266666667</c:v>
                </c:pt>
                <c:pt idx="12">
                  <c:v>-105.97209716666667</c:v>
                </c:pt>
                <c:pt idx="13">
                  <c:v>-105.97393516666666</c:v>
                </c:pt>
                <c:pt idx="14">
                  <c:v>-105.96945016666666</c:v>
                </c:pt>
                <c:pt idx="15">
                  <c:v>-105.96616966666667</c:v>
                </c:pt>
                <c:pt idx="16">
                  <c:v>-105.962192</c:v>
                </c:pt>
                <c:pt idx="17">
                  <c:v>-105.96305333333333</c:v>
                </c:pt>
                <c:pt idx="18">
                  <c:v>-105.965902</c:v>
                </c:pt>
                <c:pt idx="19">
                  <c:v>-105.97026083333333</c:v>
                </c:pt>
                <c:pt idx="20">
                  <c:v>-105.93755683333333</c:v>
                </c:pt>
                <c:pt idx="21">
                  <c:v>-105.94222866666667</c:v>
                </c:pt>
                <c:pt idx="22">
                  <c:v>-105.94736216666666</c:v>
                </c:pt>
                <c:pt idx="23">
                  <c:v>-105.94389733333334</c:v>
                </c:pt>
                <c:pt idx="24">
                  <c:v>-105.9484475</c:v>
                </c:pt>
                <c:pt idx="25">
                  <c:v>-105.95146083333333</c:v>
                </c:pt>
                <c:pt idx="26">
                  <c:v>-105.95586366666667</c:v>
                </c:pt>
                <c:pt idx="27">
                  <c:v>-105.954947</c:v>
                </c:pt>
                <c:pt idx="28">
                  <c:v>-105.95132183333334</c:v>
                </c:pt>
                <c:pt idx="29">
                  <c:v>-105.9466815</c:v>
                </c:pt>
                <c:pt idx="30">
                  <c:v>-105.89105566666667</c:v>
                </c:pt>
                <c:pt idx="31">
                  <c:v>-105.8924435</c:v>
                </c:pt>
                <c:pt idx="32">
                  <c:v>-105.89441866666667</c:v>
                </c:pt>
                <c:pt idx="33">
                  <c:v>-105.89728466666666</c:v>
                </c:pt>
                <c:pt idx="34">
                  <c:v>-105.90082233333334</c:v>
                </c:pt>
                <c:pt idx="35">
                  <c:v>-105.90373150000001</c:v>
                </c:pt>
                <c:pt idx="36">
                  <c:v>-105.901685</c:v>
                </c:pt>
                <c:pt idx="37">
                  <c:v>-105.90667833333333</c:v>
                </c:pt>
                <c:pt idx="38">
                  <c:v>-105.90682216666667</c:v>
                </c:pt>
                <c:pt idx="39">
                  <c:v>-105.90545066666667</c:v>
                </c:pt>
                <c:pt idx="40">
                  <c:v>-106.01045000000001</c:v>
                </c:pt>
                <c:pt idx="41">
                  <c:v>-105.94823333333333</c:v>
                </c:pt>
                <c:pt idx="42">
                  <c:v>-105.87061666666666</c:v>
                </c:pt>
                <c:pt idx="43">
                  <c:v>-106.01541666666667</c:v>
                </c:pt>
                <c:pt idx="44">
                  <c:v>-105.08296666666666</c:v>
                </c:pt>
                <c:pt idx="45">
                  <c:v>-105.05423333333333</c:v>
                </c:pt>
                <c:pt idx="46">
                  <c:v>-105.02961666666667</c:v>
                </c:pt>
                <c:pt idx="47">
                  <c:v>-104.77138333333333</c:v>
                </c:pt>
                <c:pt idx="48">
                  <c:v>-104.73556666666667</c:v>
                </c:pt>
                <c:pt idx="49">
                  <c:v>-104.7274</c:v>
                </c:pt>
                <c:pt idx="50">
                  <c:v>-104.70103333333333</c:v>
                </c:pt>
              </c:numCache>
            </c:numRef>
          </c:xVal>
          <c:yVal>
            <c:numRef>
              <c:f>Plan!$M$4:$M$54</c:f>
              <c:numCache>
                <c:formatCode>0.00000</c:formatCode>
                <c:ptCount val="51"/>
                <c:pt idx="0">
                  <c:v>-4.4955999999999996</c:v>
                </c:pt>
                <c:pt idx="1">
                  <c:v>-4.5739000000000001</c:v>
                </c:pt>
                <c:pt idx="2">
                  <c:v>-4.6724333333333332</c:v>
                </c:pt>
                <c:pt idx="3">
                  <c:v>-4.5503166666666663</c:v>
                </c:pt>
                <c:pt idx="4">
                  <c:v>-4.5518000000000001</c:v>
                </c:pt>
                <c:pt idx="5">
                  <c:v>-4.4598333333333331</c:v>
                </c:pt>
                <c:pt idx="6">
                  <c:v>-4.6402333333333337</c:v>
                </c:pt>
                <c:pt idx="7">
                  <c:v>-4.5327000000000002</c:v>
                </c:pt>
                <c:pt idx="8">
                  <c:v>-4.5415333333333336</c:v>
                </c:pt>
                <c:pt idx="9">
                  <c:v>-4.4444833333333333</c:v>
                </c:pt>
                <c:pt idx="10">
                  <c:v>-4.545093333333333</c:v>
                </c:pt>
                <c:pt idx="11">
                  <c:v>-4.5400964999999998</c:v>
                </c:pt>
                <c:pt idx="12">
                  <c:v>-4.5345938333333331</c:v>
                </c:pt>
                <c:pt idx="13">
                  <c:v>-4.5464108333333328</c:v>
                </c:pt>
                <c:pt idx="14">
                  <c:v>-4.5442358333333335</c:v>
                </c:pt>
                <c:pt idx="15">
                  <c:v>-4.5442711666666664</c:v>
                </c:pt>
                <c:pt idx="16">
                  <c:v>-4.5426485000000003</c:v>
                </c:pt>
                <c:pt idx="17">
                  <c:v>-4.5444601666666671</c:v>
                </c:pt>
                <c:pt idx="18">
                  <c:v>-4.5484713333333335</c:v>
                </c:pt>
                <c:pt idx="19">
                  <c:v>-4.5494518333333334</c:v>
                </c:pt>
                <c:pt idx="20">
                  <c:v>-4.5970481666666672</c:v>
                </c:pt>
                <c:pt idx="21">
                  <c:v>-4.6012786666666665</c:v>
                </c:pt>
                <c:pt idx="22">
                  <c:v>-4.6057706666666665</c:v>
                </c:pt>
                <c:pt idx="23">
                  <c:v>-4.5944071666666666</c:v>
                </c:pt>
                <c:pt idx="24">
                  <c:v>-4.5956668333333335</c:v>
                </c:pt>
                <c:pt idx="25">
                  <c:v>-4.5952106666666666</c:v>
                </c:pt>
                <c:pt idx="26">
                  <c:v>-4.5962160000000001</c:v>
                </c:pt>
                <c:pt idx="27">
                  <c:v>-4.5945301666666669</c:v>
                </c:pt>
                <c:pt idx="28">
                  <c:v>-4.5907746666666664</c:v>
                </c:pt>
                <c:pt idx="29">
                  <c:v>-4.590859833333333</c:v>
                </c:pt>
                <c:pt idx="30">
                  <c:v>-4.5854844999999997</c:v>
                </c:pt>
                <c:pt idx="31">
                  <c:v>-4.5913861666666662</c:v>
                </c:pt>
                <c:pt idx="32">
                  <c:v>-4.5977456666666665</c:v>
                </c:pt>
                <c:pt idx="33">
                  <c:v>-4.5862156666666669</c:v>
                </c:pt>
                <c:pt idx="34">
                  <c:v>-4.5897121666666667</c:v>
                </c:pt>
                <c:pt idx="35">
                  <c:v>-4.5909955</c:v>
                </c:pt>
                <c:pt idx="36">
                  <c:v>-4.5849849999999996</c:v>
                </c:pt>
                <c:pt idx="37">
                  <c:v>-4.5937231666666669</c:v>
                </c:pt>
                <c:pt idx="38">
                  <c:v>-4.5918653333333337</c:v>
                </c:pt>
                <c:pt idx="39">
                  <c:v>-4.5870424999999999</c:v>
                </c:pt>
                <c:pt idx="40">
                  <c:v>-4.6198166666666669</c:v>
                </c:pt>
                <c:pt idx="41">
                  <c:v>-4.570216666666667</c:v>
                </c:pt>
                <c:pt idx="42">
                  <c:v>-4.5302333333333333</c:v>
                </c:pt>
                <c:pt idx="43">
                  <c:v>-4.5595333333333334</c:v>
                </c:pt>
                <c:pt idx="44">
                  <c:v>-4.4737816666666665</c:v>
                </c:pt>
                <c:pt idx="45">
                  <c:v>-4.6208499999999999</c:v>
                </c:pt>
                <c:pt idx="46">
                  <c:v>-4.5543166666666668</c:v>
                </c:pt>
                <c:pt idx="47">
                  <c:v>-4.5756666666666668</c:v>
                </c:pt>
                <c:pt idx="48">
                  <c:v>-4.6737333333333329</c:v>
                </c:pt>
                <c:pt idx="49">
                  <c:v>-4.58805</c:v>
                </c:pt>
                <c:pt idx="50">
                  <c:v>-4.4973666666666663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CE-2545-85A4-6E8764078ABB}"/>
            </c:ext>
          </c:extLst>
        </c:ser>
        <c:ser>
          <c:idx val="1"/>
          <c:order val="1"/>
          <c:tx>
            <c:v>SMOBS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Plan!$N$4:$N$13</c:f>
              <c:numCache>
                <c:formatCode>0.00000</c:formatCode>
                <c:ptCount val="10"/>
                <c:pt idx="0">
                  <c:v>-104.80721666666666</c:v>
                </c:pt>
                <c:pt idx="1">
                  <c:v>-104.8155</c:v>
                </c:pt>
                <c:pt idx="2">
                  <c:v>-104.84141666666666</c:v>
                </c:pt>
                <c:pt idx="3">
                  <c:v>-104.85991666666666</c:v>
                </c:pt>
                <c:pt idx="4">
                  <c:v>-104.90426666666667</c:v>
                </c:pt>
                <c:pt idx="5">
                  <c:v>-104.91374999999999</c:v>
                </c:pt>
                <c:pt idx="6">
                  <c:v>-104.94806666666666</c:v>
                </c:pt>
                <c:pt idx="7">
                  <c:v>-104.94846666666666</c:v>
                </c:pt>
                <c:pt idx="8">
                  <c:v>-104.99306666666666</c:v>
                </c:pt>
                <c:pt idx="9">
                  <c:v>-105.01986666666667</c:v>
                </c:pt>
              </c:numCache>
            </c:numRef>
          </c:xVal>
          <c:yVal>
            <c:numRef>
              <c:f>Plan!$M$4:$M$13</c:f>
              <c:numCache>
                <c:formatCode>0.00000</c:formatCode>
                <c:ptCount val="10"/>
                <c:pt idx="0">
                  <c:v>-4.4955999999999996</c:v>
                </c:pt>
                <c:pt idx="1">
                  <c:v>-4.5739000000000001</c:v>
                </c:pt>
                <c:pt idx="2">
                  <c:v>-4.6724333333333332</c:v>
                </c:pt>
                <c:pt idx="3">
                  <c:v>-4.5503166666666663</c:v>
                </c:pt>
                <c:pt idx="4">
                  <c:v>-4.5518000000000001</c:v>
                </c:pt>
                <c:pt idx="5">
                  <c:v>-4.4598333333333331</c:v>
                </c:pt>
                <c:pt idx="6">
                  <c:v>-4.6402333333333337</c:v>
                </c:pt>
                <c:pt idx="7">
                  <c:v>-4.5327000000000002</c:v>
                </c:pt>
                <c:pt idx="8">
                  <c:v>-4.5415333333333336</c:v>
                </c:pt>
                <c:pt idx="9">
                  <c:v>-4.4444833333333333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CE-2545-85A4-6E8764078ABB}"/>
            </c:ext>
          </c:extLst>
        </c:ser>
        <c:ser>
          <c:idx val="2"/>
          <c:order val="2"/>
          <c:tx>
            <c:v>Abalone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Plan!$N$37:$N$43</c:f>
              <c:numCache>
                <c:formatCode>0.00000</c:formatCode>
                <c:ptCount val="7"/>
                <c:pt idx="0">
                  <c:v>-105.89728466666666</c:v>
                </c:pt>
                <c:pt idx="1">
                  <c:v>-105.90082233333334</c:v>
                </c:pt>
                <c:pt idx="2">
                  <c:v>-105.90373150000001</c:v>
                </c:pt>
                <c:pt idx="3">
                  <c:v>-105.901685</c:v>
                </c:pt>
                <c:pt idx="4">
                  <c:v>-105.90667833333333</c:v>
                </c:pt>
                <c:pt idx="5">
                  <c:v>-105.90682216666667</c:v>
                </c:pt>
                <c:pt idx="6">
                  <c:v>-105.90545066666667</c:v>
                </c:pt>
              </c:numCache>
            </c:numRef>
          </c:xVal>
          <c:yVal>
            <c:numRef>
              <c:f>Plan!$M$37:$M$43</c:f>
              <c:numCache>
                <c:formatCode>0.00000</c:formatCode>
                <c:ptCount val="7"/>
                <c:pt idx="0">
                  <c:v>-4.5862156666666669</c:v>
                </c:pt>
                <c:pt idx="1">
                  <c:v>-4.5897121666666667</c:v>
                </c:pt>
                <c:pt idx="2">
                  <c:v>-4.5909955</c:v>
                </c:pt>
                <c:pt idx="3">
                  <c:v>-4.5849849999999996</c:v>
                </c:pt>
                <c:pt idx="4">
                  <c:v>-4.5937231666666669</c:v>
                </c:pt>
                <c:pt idx="5">
                  <c:v>-4.5918653333333337</c:v>
                </c:pt>
                <c:pt idx="6">
                  <c:v>-4.5870424999999999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DCE-2545-85A4-6E8764078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8131695"/>
        <c:axId val="278133327"/>
      </c:scatterChart>
      <c:valAx>
        <c:axId val="278131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133327"/>
        <c:crosses val="autoZero"/>
        <c:crossBetween val="midCat"/>
      </c:valAx>
      <c:valAx>
        <c:axId val="278133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8131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-2065873960"/>
        <c:axId val="-2066567912"/>
      </c:scatterChart>
      <c:valAx>
        <c:axId val="-2065873960"/>
        <c:scaling>
          <c:orientation val="minMax"/>
        </c:scaling>
        <c:delete val="0"/>
        <c:axPos val="b"/>
        <c:majorTickMark val="out"/>
        <c:minorTickMark val="none"/>
        <c:tickLblPos val="nextTo"/>
        <c:crossAx val="-2066567912"/>
        <c:crosses val="autoZero"/>
        <c:crossBetween val="midCat"/>
      </c:valAx>
      <c:valAx>
        <c:axId val="-206656791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-2065873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Map!$C$2:$C$52</c:f>
              <c:numCache>
                <c:formatCode>0.00000</c:formatCode>
                <c:ptCount val="51"/>
                <c:pt idx="0">
                  <c:v>104.80721666666666</c:v>
                </c:pt>
                <c:pt idx="1">
                  <c:v>104.8155</c:v>
                </c:pt>
                <c:pt idx="2">
                  <c:v>104.84141666666666</c:v>
                </c:pt>
                <c:pt idx="3">
                  <c:v>104.85991666666666</c:v>
                </c:pt>
                <c:pt idx="4">
                  <c:v>104.90426666666667</c:v>
                </c:pt>
                <c:pt idx="5">
                  <c:v>104.91374999999999</c:v>
                </c:pt>
                <c:pt idx="6">
                  <c:v>104.94806666666666</c:v>
                </c:pt>
                <c:pt idx="7">
                  <c:v>104.94846666666666</c:v>
                </c:pt>
                <c:pt idx="8">
                  <c:v>104.99306666666666</c:v>
                </c:pt>
                <c:pt idx="9">
                  <c:v>105.01986666666667</c:v>
                </c:pt>
                <c:pt idx="10">
                  <c:v>105.98014499999999</c:v>
                </c:pt>
                <c:pt idx="11">
                  <c:v>105.97652266666667</c:v>
                </c:pt>
                <c:pt idx="12">
                  <c:v>105.97209716666667</c:v>
                </c:pt>
                <c:pt idx="13">
                  <c:v>105.97393516666666</c:v>
                </c:pt>
                <c:pt idx="14">
                  <c:v>105.96945016666666</c:v>
                </c:pt>
                <c:pt idx="15">
                  <c:v>105.96616966666667</c:v>
                </c:pt>
                <c:pt idx="16">
                  <c:v>105.962192</c:v>
                </c:pt>
                <c:pt idx="17">
                  <c:v>105.96305333333333</c:v>
                </c:pt>
                <c:pt idx="18">
                  <c:v>105.965902</c:v>
                </c:pt>
                <c:pt idx="19">
                  <c:v>105.97026083333333</c:v>
                </c:pt>
                <c:pt idx="20">
                  <c:v>105.93755683333333</c:v>
                </c:pt>
                <c:pt idx="21">
                  <c:v>105.94222866666667</c:v>
                </c:pt>
                <c:pt idx="22">
                  <c:v>105.94736216666666</c:v>
                </c:pt>
                <c:pt idx="23">
                  <c:v>105.94389733333334</c:v>
                </c:pt>
                <c:pt idx="24">
                  <c:v>105.9484475</c:v>
                </c:pt>
                <c:pt idx="25">
                  <c:v>105.95146083333333</c:v>
                </c:pt>
                <c:pt idx="26">
                  <c:v>105.95586366666667</c:v>
                </c:pt>
                <c:pt idx="27">
                  <c:v>105.954947</c:v>
                </c:pt>
                <c:pt idx="28">
                  <c:v>105.95132183333334</c:v>
                </c:pt>
                <c:pt idx="29">
                  <c:v>105.9466815</c:v>
                </c:pt>
                <c:pt idx="30">
                  <c:v>105.89105566666667</c:v>
                </c:pt>
                <c:pt idx="31">
                  <c:v>105.8924435</c:v>
                </c:pt>
                <c:pt idx="32">
                  <c:v>105.89441866666667</c:v>
                </c:pt>
                <c:pt idx="33">
                  <c:v>105.89728466666666</c:v>
                </c:pt>
                <c:pt idx="34">
                  <c:v>105.90082233333334</c:v>
                </c:pt>
                <c:pt idx="35">
                  <c:v>105.90373150000001</c:v>
                </c:pt>
                <c:pt idx="36">
                  <c:v>105.901685</c:v>
                </c:pt>
                <c:pt idx="37">
                  <c:v>105.90667833333333</c:v>
                </c:pt>
                <c:pt idx="38">
                  <c:v>105.90682216666667</c:v>
                </c:pt>
                <c:pt idx="39">
                  <c:v>105.90545066666667</c:v>
                </c:pt>
                <c:pt idx="40">
                  <c:v>106.01045000000001</c:v>
                </c:pt>
                <c:pt idx="41">
                  <c:v>105.94823333333333</c:v>
                </c:pt>
                <c:pt idx="42">
                  <c:v>105.87061666666666</c:v>
                </c:pt>
                <c:pt idx="43">
                  <c:v>106.01541666666667</c:v>
                </c:pt>
                <c:pt idx="44">
                  <c:v>105.08296666666666</c:v>
                </c:pt>
                <c:pt idx="45">
                  <c:v>105.05423333333333</c:v>
                </c:pt>
                <c:pt idx="46">
                  <c:v>105.02961666666667</c:v>
                </c:pt>
                <c:pt idx="47">
                  <c:v>104.77138333333333</c:v>
                </c:pt>
                <c:pt idx="48">
                  <c:v>104.73556666666667</c:v>
                </c:pt>
                <c:pt idx="49">
                  <c:v>104.7274</c:v>
                </c:pt>
                <c:pt idx="50">
                  <c:v>104.70103333333333</c:v>
                </c:pt>
              </c:numCache>
            </c:numRef>
          </c:xVal>
          <c:yVal>
            <c:numRef>
              <c:f>Map!$B$2:$B$52</c:f>
              <c:numCache>
                <c:formatCode>0.00000</c:formatCode>
                <c:ptCount val="51"/>
                <c:pt idx="0">
                  <c:v>-4.4955999999999996</c:v>
                </c:pt>
                <c:pt idx="1">
                  <c:v>-4.5739000000000001</c:v>
                </c:pt>
                <c:pt idx="2">
                  <c:v>-4.6724333333333332</c:v>
                </c:pt>
                <c:pt idx="3">
                  <c:v>-4.5503166666666663</c:v>
                </c:pt>
                <c:pt idx="4">
                  <c:v>-4.5518000000000001</c:v>
                </c:pt>
                <c:pt idx="5">
                  <c:v>-4.4598333333333331</c:v>
                </c:pt>
                <c:pt idx="6">
                  <c:v>-4.6402333333333337</c:v>
                </c:pt>
                <c:pt idx="7">
                  <c:v>-4.5327000000000002</c:v>
                </c:pt>
                <c:pt idx="8">
                  <c:v>-4.5415333333333336</c:v>
                </c:pt>
                <c:pt idx="9">
                  <c:v>-4.4444833333333333</c:v>
                </c:pt>
                <c:pt idx="10">
                  <c:v>-4.545093333333333</c:v>
                </c:pt>
                <c:pt idx="11">
                  <c:v>-4.5400964999999998</c:v>
                </c:pt>
                <c:pt idx="12">
                  <c:v>-4.5345938333333331</c:v>
                </c:pt>
                <c:pt idx="13">
                  <c:v>-4.5464108333333328</c:v>
                </c:pt>
                <c:pt idx="14">
                  <c:v>-4.5442358333333335</c:v>
                </c:pt>
                <c:pt idx="15">
                  <c:v>-4.5442711666666664</c:v>
                </c:pt>
                <c:pt idx="16">
                  <c:v>-4.5426485000000003</c:v>
                </c:pt>
                <c:pt idx="17">
                  <c:v>-4.5444601666666671</c:v>
                </c:pt>
                <c:pt idx="18">
                  <c:v>-4.5484713333333335</c:v>
                </c:pt>
                <c:pt idx="19">
                  <c:v>-4.5494518333333334</c:v>
                </c:pt>
                <c:pt idx="20">
                  <c:v>-4.5970481666666672</c:v>
                </c:pt>
                <c:pt idx="21">
                  <c:v>-4.6012786666666665</c:v>
                </c:pt>
                <c:pt idx="22">
                  <c:v>-4.6057706666666665</c:v>
                </c:pt>
                <c:pt idx="23">
                  <c:v>-4.5944071666666666</c:v>
                </c:pt>
                <c:pt idx="24">
                  <c:v>-4.5956668333333335</c:v>
                </c:pt>
                <c:pt idx="25">
                  <c:v>-4.5952106666666666</c:v>
                </c:pt>
                <c:pt idx="26">
                  <c:v>-4.5962160000000001</c:v>
                </c:pt>
                <c:pt idx="27">
                  <c:v>-4.5945301666666669</c:v>
                </c:pt>
                <c:pt idx="28">
                  <c:v>-4.5907746666666664</c:v>
                </c:pt>
                <c:pt idx="29">
                  <c:v>-4.590859833333333</c:v>
                </c:pt>
                <c:pt idx="30">
                  <c:v>-4.5854844999999997</c:v>
                </c:pt>
                <c:pt idx="31">
                  <c:v>-4.5913861666666662</c:v>
                </c:pt>
                <c:pt idx="32">
                  <c:v>-4.5977456666666665</c:v>
                </c:pt>
                <c:pt idx="33">
                  <c:v>-4.5862156666666669</c:v>
                </c:pt>
                <c:pt idx="34">
                  <c:v>-4.5897121666666667</c:v>
                </c:pt>
                <c:pt idx="35">
                  <c:v>-4.5909955</c:v>
                </c:pt>
                <c:pt idx="36">
                  <c:v>-4.5849849999999996</c:v>
                </c:pt>
                <c:pt idx="37">
                  <c:v>-4.5937231666666669</c:v>
                </c:pt>
                <c:pt idx="38">
                  <c:v>-4.5918653333333337</c:v>
                </c:pt>
                <c:pt idx="39">
                  <c:v>-4.5870424999999999</c:v>
                </c:pt>
                <c:pt idx="40">
                  <c:v>-4.6198166666666669</c:v>
                </c:pt>
                <c:pt idx="41">
                  <c:v>-4.570216666666667</c:v>
                </c:pt>
                <c:pt idx="42">
                  <c:v>-4.5302333333333333</c:v>
                </c:pt>
                <c:pt idx="43">
                  <c:v>-4.5595333333333334</c:v>
                </c:pt>
                <c:pt idx="44">
                  <c:v>-4.4737816666666665</c:v>
                </c:pt>
                <c:pt idx="45">
                  <c:v>-4.6208499999999999</c:v>
                </c:pt>
                <c:pt idx="46">
                  <c:v>-4.5543166666666668</c:v>
                </c:pt>
                <c:pt idx="47">
                  <c:v>-4.5756666666666668</c:v>
                </c:pt>
                <c:pt idx="48">
                  <c:v>-4.6737333333333329</c:v>
                </c:pt>
                <c:pt idx="49">
                  <c:v>-4.58805</c:v>
                </c:pt>
                <c:pt idx="50">
                  <c:v>-4.4973666666666663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78-4540-8780-8A22CB801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6558008"/>
        <c:axId val="-2066439480"/>
      </c:scatterChart>
      <c:valAx>
        <c:axId val="-2066558008"/>
        <c:scaling>
          <c:orientation val="minMax"/>
        </c:scaling>
        <c:delete val="0"/>
        <c:axPos val="b"/>
        <c:numFmt formatCode="0.00000" sourceLinked="1"/>
        <c:majorTickMark val="out"/>
        <c:minorTickMark val="none"/>
        <c:tickLblPos val="nextTo"/>
        <c:crossAx val="-2066439480"/>
        <c:crosses val="autoZero"/>
        <c:crossBetween val="midCat"/>
      </c:valAx>
      <c:valAx>
        <c:axId val="-2066439480"/>
        <c:scaling>
          <c:orientation val="minMax"/>
        </c:scaling>
        <c:delete val="0"/>
        <c:axPos val="l"/>
        <c:majorGridlines/>
        <c:numFmt formatCode="0.00000" sourceLinked="1"/>
        <c:majorTickMark val="out"/>
        <c:minorTickMark val="none"/>
        <c:tickLblPos val="nextTo"/>
        <c:crossAx val="-2066558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248476</xdr:colOff>
      <xdr:row>6</xdr:row>
      <xdr:rowOff>132521</xdr:rowOff>
    </xdr:from>
    <xdr:to>
      <xdr:col>44</xdr:col>
      <xdr:colOff>761999</xdr:colOff>
      <xdr:row>22</xdr:row>
      <xdr:rowOff>99389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C12A02-F8FA-3642-AC95-6292B2A79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768350</xdr:colOff>
      <xdr:row>1</xdr:row>
      <xdr:rowOff>0</xdr:rowOff>
    </xdr:from>
    <xdr:to>
      <xdr:col>24</xdr:col>
      <xdr:colOff>387350</xdr:colOff>
      <xdr:row>13</xdr:row>
      <xdr:rowOff>107950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165100</xdr:colOff>
      <xdr:row>22</xdr:row>
      <xdr:rowOff>152400</xdr:rowOff>
    </xdr:from>
    <xdr:to>
      <xdr:col>22</xdr:col>
      <xdr:colOff>38100</xdr:colOff>
      <xdr:row>36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D7859-1FD1-9B4F-B75B-4E14EB2A762D}">
  <dimension ref="C3:D17"/>
  <sheetViews>
    <sheetView workbookViewId="0">
      <selection activeCell="D15" sqref="D15"/>
    </sheetView>
  </sheetViews>
  <sheetFormatPr baseColWidth="10" defaultRowHeight="16" x14ac:dyDescent="0.2"/>
  <cols>
    <col min="3" max="3" width="41.5" customWidth="1"/>
    <col min="4" max="4" width="18.1640625" customWidth="1"/>
  </cols>
  <sheetData>
    <row r="3" spans="3:4" x14ac:dyDescent="0.2">
      <c r="C3" t="s">
        <v>48</v>
      </c>
      <c r="D3">
        <v>11</v>
      </c>
    </row>
    <row r="4" spans="3:4" x14ac:dyDescent="0.2">
      <c r="C4" t="s">
        <v>139</v>
      </c>
      <c r="D4">
        <v>10</v>
      </c>
    </row>
    <row r="6" spans="3:4" x14ac:dyDescent="0.2">
      <c r="C6" t="s">
        <v>136</v>
      </c>
      <c r="D6">
        <v>0.5</v>
      </c>
    </row>
    <row r="7" spans="3:4" x14ac:dyDescent="0.2">
      <c r="C7" t="s">
        <v>137</v>
      </c>
      <c r="D7">
        <v>0.25</v>
      </c>
    </row>
    <row r="9" spans="3:4" x14ac:dyDescent="0.2">
      <c r="C9" t="s">
        <v>49</v>
      </c>
      <c r="D9">
        <v>30</v>
      </c>
    </row>
    <row r="10" spans="3:4" x14ac:dyDescent="0.2">
      <c r="C10" t="s">
        <v>20</v>
      </c>
      <c r="D10" s="46">
        <v>1</v>
      </c>
    </row>
    <row r="14" spans="3:4" x14ac:dyDescent="0.2">
      <c r="C14" t="s">
        <v>143</v>
      </c>
      <c r="D14">
        <v>40</v>
      </c>
    </row>
    <row r="15" spans="3:4" x14ac:dyDescent="0.2">
      <c r="C15" t="s">
        <v>144</v>
      </c>
      <c r="D15">
        <v>48</v>
      </c>
    </row>
    <row r="16" spans="3:4" x14ac:dyDescent="0.2">
      <c r="C16" t="s">
        <v>145</v>
      </c>
      <c r="D16">
        <v>38</v>
      </c>
    </row>
    <row r="17" spans="3:4" x14ac:dyDescent="0.2">
      <c r="C17" t="s">
        <v>146</v>
      </c>
      <c r="D17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EB8D-B38B-6A43-A198-8CC102BEE82F}">
  <dimension ref="A1:AE92"/>
  <sheetViews>
    <sheetView tabSelected="1" showRuler="0" topLeftCell="A33" zoomScale="115" zoomScaleNormal="115" workbookViewId="0">
      <pane xSplit="11980" ySplit="860" topLeftCell="M34" activePane="bottomRight"/>
      <selection activeCell="A33" sqref="A33"/>
      <selection pane="topRight" activeCell="F33" sqref="F33"/>
      <selection pane="bottomLeft" activeCell="A34" sqref="A34"/>
      <selection pane="bottomRight" activeCell="F34" sqref="F34"/>
    </sheetView>
  </sheetViews>
  <sheetFormatPr baseColWidth="10" defaultRowHeight="16" x14ac:dyDescent="0.2"/>
  <cols>
    <col min="3" max="4" width="25.1640625" customWidth="1"/>
    <col min="6" max="6" width="15.33203125" customWidth="1"/>
    <col min="7" max="7" width="14.83203125" customWidth="1"/>
    <col min="8" max="8" width="15.1640625" customWidth="1"/>
    <col min="9" max="9" width="15.33203125" customWidth="1"/>
    <col min="10" max="10" width="14.33203125" customWidth="1"/>
    <col min="11" max="11" width="13.83203125" customWidth="1"/>
    <col min="13" max="13" width="16.1640625" customWidth="1"/>
    <col min="14" max="14" width="17" customWidth="1"/>
    <col min="15" max="16" width="14.33203125" customWidth="1"/>
    <col min="17" max="17" width="16.6640625" customWidth="1"/>
    <col min="18" max="18" width="17.1640625" customWidth="1"/>
    <col min="20" max="24" width="15.83203125" customWidth="1"/>
    <col min="26" max="26" width="25.1640625" customWidth="1"/>
    <col min="27" max="27" width="21.6640625" customWidth="1"/>
    <col min="28" max="28" width="19.83203125" customWidth="1"/>
    <col min="29" max="29" width="14.5" customWidth="1"/>
  </cols>
  <sheetData>
    <row r="1" spans="1:31" ht="55" customHeight="1" x14ac:dyDescent="0.2">
      <c r="A1" s="37" t="s">
        <v>85</v>
      </c>
      <c r="B1" s="37" t="s">
        <v>140</v>
      </c>
      <c r="C1" s="5" t="s">
        <v>3</v>
      </c>
      <c r="D1" s="5" t="s">
        <v>50</v>
      </c>
      <c r="E1" s="5" t="s">
        <v>2</v>
      </c>
      <c r="F1" s="5" t="s">
        <v>4</v>
      </c>
      <c r="G1" s="7" t="s">
        <v>5</v>
      </c>
      <c r="H1" s="5" t="s">
        <v>6</v>
      </c>
      <c r="I1" s="5" t="s">
        <v>7</v>
      </c>
      <c r="J1" s="7" t="s">
        <v>8</v>
      </c>
      <c r="K1" s="5" t="s">
        <v>9</v>
      </c>
      <c r="L1" s="5" t="s">
        <v>10</v>
      </c>
      <c r="M1" s="7" t="s">
        <v>11</v>
      </c>
      <c r="N1" s="7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141</v>
      </c>
      <c r="V1" s="5" t="s">
        <v>142</v>
      </c>
      <c r="W1" s="5" t="s">
        <v>138</v>
      </c>
      <c r="X1" s="5" t="s">
        <v>20</v>
      </c>
      <c r="Y1" s="5" t="s">
        <v>19</v>
      </c>
      <c r="Z1" s="5" t="s">
        <v>21</v>
      </c>
      <c r="AA1" s="6" t="s">
        <v>22</v>
      </c>
      <c r="AB1" s="6" t="s">
        <v>23</v>
      </c>
      <c r="AC1" s="6" t="s">
        <v>147</v>
      </c>
    </row>
    <row r="2" spans="1:31" s="4" customFormat="1" ht="17" x14ac:dyDescent="0.2">
      <c r="C2" s="20" t="s">
        <v>26</v>
      </c>
      <c r="D2" s="20"/>
      <c r="E2" s="20"/>
      <c r="F2" s="20">
        <v>32</v>
      </c>
      <c r="G2" s="21">
        <v>42.433</v>
      </c>
      <c r="H2" s="20" t="s">
        <v>0</v>
      </c>
      <c r="I2" s="20">
        <v>117</v>
      </c>
      <c r="J2" s="21">
        <v>14.211</v>
      </c>
      <c r="K2" s="20" t="s">
        <v>1</v>
      </c>
      <c r="L2" s="20"/>
      <c r="M2" s="22">
        <f t="shared" ref="M2:M56" si="0">IF(H2="N",F2+G2/60,-(F2+G2/60))</f>
        <v>32.707216666666667</v>
      </c>
      <c r="N2" s="22">
        <f t="shared" ref="N2:N56" si="1">IF(K2="E",I2+J2/60,-(I2+J2/60))</f>
        <v>-117.23685</v>
      </c>
      <c r="O2" s="23">
        <f t="shared" ref="O2:O56" si="2">RADIANS(90 - M2)</f>
        <v>0.99994770679839851</v>
      </c>
      <c r="P2" s="23">
        <f t="shared" ref="P2:P56" si="3">RADIANS(N2)</f>
        <v>-2.0461690371667141</v>
      </c>
      <c r="Q2" s="24">
        <f t="shared" ref="Q2:Q4" si="4" xml:space="preserve"> ROUND(ACOS( COS(O2)*COS(O3) + SIN(O2)*SIN(O3)*COS(P2-P3) ) * 6371,0)</f>
        <v>6</v>
      </c>
      <c r="R2" s="24">
        <f t="shared" ref="R2:R55" si="5">ROUND(Q2/1.852, 0)</f>
        <v>3</v>
      </c>
      <c r="S2" s="25">
        <v>5</v>
      </c>
      <c r="T2" s="26">
        <f>ROUND(R2/S2,1)</f>
        <v>0.6</v>
      </c>
      <c r="U2" s="26">
        <v>0</v>
      </c>
      <c r="V2" s="26"/>
      <c r="W2" s="26">
        <v>0</v>
      </c>
      <c r="X2" s="26">
        <v>0</v>
      </c>
      <c r="Y2" s="25">
        <v>0</v>
      </c>
      <c r="Z2" s="29">
        <v>44121.416666666664</v>
      </c>
      <c r="AA2" s="30">
        <f t="shared" ref="AA2" si="6">Z2  + T2/24</f>
        <v>44121.441666666666</v>
      </c>
      <c r="AB2" s="26">
        <f>(AA2-Z2)*24</f>
        <v>0.6000000000349246</v>
      </c>
      <c r="AC2" s="25">
        <v>0</v>
      </c>
    </row>
    <row r="3" spans="1:31" s="47" customFormat="1" ht="17" x14ac:dyDescent="0.2">
      <c r="C3" s="20" t="s">
        <v>25</v>
      </c>
      <c r="D3" s="20"/>
      <c r="E3" s="20"/>
      <c r="F3" s="20">
        <v>32</v>
      </c>
      <c r="G3" s="21">
        <v>39.021000000000001</v>
      </c>
      <c r="H3" s="20" t="s">
        <v>0</v>
      </c>
      <c r="I3" s="20">
        <v>117</v>
      </c>
      <c r="J3" s="21">
        <v>13.516</v>
      </c>
      <c r="K3" s="20" t="s">
        <v>1</v>
      </c>
      <c r="L3" s="20"/>
      <c r="M3" s="48">
        <f t="shared" si="0"/>
        <v>32.650350000000003</v>
      </c>
      <c r="N3" s="48">
        <f t="shared" si="1"/>
        <v>-117.22526666666667</v>
      </c>
      <c r="O3" s="49">
        <f t="shared" si="2"/>
        <v>1.000940217366366</v>
      </c>
      <c r="P3" s="49">
        <f t="shared" si="3"/>
        <v>-2.0459668698616915</v>
      </c>
      <c r="Q3" s="50">
        <f t="shared" si="4"/>
        <v>4333</v>
      </c>
      <c r="R3" s="50">
        <f t="shared" si="5"/>
        <v>2340</v>
      </c>
      <c r="S3" s="26">
        <f>Assumptions!$D$3</f>
        <v>11</v>
      </c>
      <c r="T3" s="26">
        <f t="shared" ref="T3:T55" si="7">ROUND(R3/S3,1)</f>
        <v>212.7</v>
      </c>
      <c r="U3" s="26">
        <v>0</v>
      </c>
      <c r="V3" s="26"/>
      <c r="W3" s="26">
        <v>0</v>
      </c>
      <c r="X3" s="26">
        <v>0</v>
      </c>
      <c r="Y3" s="25">
        <v>0</v>
      </c>
      <c r="Z3" s="51">
        <f t="shared" ref="Z3:Z34" si="8">AA2+Y3/24</f>
        <v>44121.441666666666</v>
      </c>
      <c r="AA3" s="30">
        <f t="shared" ref="AA3:AA34" si="9">Z3  + T3/24</f>
        <v>44130.304166666669</v>
      </c>
      <c r="AB3" s="26">
        <f t="shared" ref="AB3:AB34" si="10">(AA3-Z3)*24 + (Z3-AA2)*24 + AB2</f>
        <v>213.30000000010477</v>
      </c>
      <c r="AC3" s="25">
        <v>0</v>
      </c>
    </row>
    <row r="4" spans="1:31" s="47" customFormat="1" ht="16" customHeight="1" x14ac:dyDescent="0.2">
      <c r="A4" s="47">
        <v>1</v>
      </c>
      <c r="B4" s="47">
        <v>1</v>
      </c>
      <c r="C4" s="38" t="s">
        <v>28</v>
      </c>
      <c r="D4" s="38" t="s">
        <v>51</v>
      </c>
      <c r="E4" s="39" t="s">
        <v>86</v>
      </c>
      <c r="F4" s="38">
        <v>4</v>
      </c>
      <c r="G4" s="40">
        <v>29.736000000000001</v>
      </c>
      <c r="H4" s="38" t="s">
        <v>24</v>
      </c>
      <c r="I4" s="38">
        <v>104</v>
      </c>
      <c r="J4" s="40">
        <v>48.433</v>
      </c>
      <c r="K4" s="38" t="s">
        <v>1</v>
      </c>
      <c r="L4" s="41">
        <v>3152</v>
      </c>
      <c r="M4" s="42">
        <f t="shared" ref="M4:M35" si="11">IF(H4="N",F4+G4/60,-(F4+G4/60))</f>
        <v>-4.4955999999999996</v>
      </c>
      <c r="N4" s="42">
        <f t="shared" ref="N4:N35" si="12">IF(K4="E",I4+J4/60,-(I4+J4/60))</f>
        <v>-104.80721666666666</v>
      </c>
      <c r="O4" s="52">
        <f t="shared" ref="O4:O35" si="13">RADIANS(90 - M4)</f>
        <v>1.6492593486475535</v>
      </c>
      <c r="P4" s="52">
        <f t="shared" ref="P4:P35" si="14">RADIANS(N4)</f>
        <v>-1.8292310106844096</v>
      </c>
      <c r="Q4" s="53">
        <f t="shared" si="4"/>
        <v>9</v>
      </c>
      <c r="R4" s="53">
        <f t="shared" si="5"/>
        <v>5</v>
      </c>
      <c r="S4" s="11">
        <f>Assumptions!$D$4</f>
        <v>10</v>
      </c>
      <c r="T4" s="11">
        <f t="shared" ref="T4:T35" si="15">ROUND(R4/S4,1)</f>
        <v>0.5</v>
      </c>
      <c r="U4" s="11">
        <f>Assumptions!$D$6</f>
        <v>0.5</v>
      </c>
      <c r="V4" s="45">
        <f>Assumptions!$D$7</f>
        <v>0.25</v>
      </c>
      <c r="W4" s="11">
        <f>IF(D4="SMOBS", L4/Assumptions!$D$14/60, IF(D4="ARRA", L4/Assumptions!$D$15/60, IF(D4="Abalone",L4/Assumptions!$D$16/60, IF(D4="SPOBS", L4/Assumptions!$D$17/60))))</f>
        <v>1.3133333333333332</v>
      </c>
      <c r="X4" s="45">
        <f>IF(B4=1, Assumptions!$D$10, 0)</f>
        <v>1</v>
      </c>
      <c r="Y4" s="57">
        <f>SUM(U4,V4,W4,X4)</f>
        <v>3.0633333333333335</v>
      </c>
      <c r="Z4" s="55">
        <f t="shared" si="8"/>
        <v>44130.431805555556</v>
      </c>
      <c r="AA4" s="35">
        <f t="shared" si="9"/>
        <v>44130.452638888892</v>
      </c>
      <c r="AB4" s="11">
        <f t="shared" si="10"/>
        <v>216.86333333345829</v>
      </c>
      <c r="AC4" s="11">
        <f t="shared" ref="AC4:AC35" si="16">AB4/24</f>
        <v>9.0359722222274286</v>
      </c>
      <c r="AE4" s="11"/>
    </row>
    <row r="5" spans="1:31" s="47" customFormat="1" x14ac:dyDescent="0.2">
      <c r="A5" s="47">
        <v>2</v>
      </c>
      <c r="B5" s="47">
        <v>0</v>
      </c>
      <c r="C5" s="38" t="s">
        <v>29</v>
      </c>
      <c r="D5" s="38" t="s">
        <v>51</v>
      </c>
      <c r="E5" s="39" t="s">
        <v>87</v>
      </c>
      <c r="F5" s="38">
        <v>4</v>
      </c>
      <c r="G5" s="40">
        <v>34.433999999999997</v>
      </c>
      <c r="H5" s="38" t="s">
        <v>24</v>
      </c>
      <c r="I5" s="38">
        <v>104</v>
      </c>
      <c r="J5" s="40">
        <v>48.93</v>
      </c>
      <c r="K5" s="38" t="s">
        <v>1</v>
      </c>
      <c r="L5" s="43">
        <v>3301</v>
      </c>
      <c r="M5" s="42">
        <f t="shared" si="11"/>
        <v>-4.5739000000000001</v>
      </c>
      <c r="N5" s="42">
        <f t="shared" si="12"/>
        <v>-104.8155</v>
      </c>
      <c r="O5" s="52">
        <f t="shared" si="13"/>
        <v>1.6506259414518651</v>
      </c>
      <c r="P5" s="52">
        <f t="shared" si="14"/>
        <v>-1.8293755821241164</v>
      </c>
      <c r="Q5" s="53">
        <f t="shared" ref="Q5:Q54" si="17" xml:space="preserve"> ROUND(ACOS( COS(O5)*COS(O6) + SIN(O5)*SIN(O6)*COS(P5-P6) ) * 6371,0)</f>
        <v>11</v>
      </c>
      <c r="R5" s="53">
        <f t="shared" si="5"/>
        <v>6</v>
      </c>
      <c r="S5" s="11">
        <f>Assumptions!$D$4</f>
        <v>10</v>
      </c>
      <c r="T5" s="11">
        <f t="shared" si="15"/>
        <v>0.6</v>
      </c>
      <c r="U5" s="11">
        <f>Assumptions!$D$6</f>
        <v>0.5</v>
      </c>
      <c r="V5" s="45">
        <f>Assumptions!$D$7</f>
        <v>0.25</v>
      </c>
      <c r="W5" s="11">
        <f>IF(D5="SMOBS", L5/Assumptions!$D$14/60, IF(D5="ARRA", L5/Assumptions!$D$15/60, IF(D5="Abalone",L5/Assumptions!$D$16/60, IF(D5="SPOBS", L5/Assumptions!$D$17/60))))</f>
        <v>1.3754166666666667</v>
      </c>
      <c r="X5" s="45">
        <f>IF(B5=1, Assumptions!$D$10, 0)</f>
        <v>0</v>
      </c>
      <c r="Y5" s="57">
        <f t="shared" ref="Y5:Y54" si="18">SUM(U5,V5,W5,X5)</f>
        <v>2.1254166666666667</v>
      </c>
      <c r="Z5" s="55">
        <f t="shared" si="8"/>
        <v>44130.541197916667</v>
      </c>
      <c r="AA5" s="35">
        <f t="shared" si="9"/>
        <v>44130.566197916669</v>
      </c>
      <c r="AB5" s="11">
        <f t="shared" si="10"/>
        <v>219.58875000011176</v>
      </c>
      <c r="AC5" s="11">
        <f t="shared" si="16"/>
        <v>9.1495312500046566</v>
      </c>
      <c r="AE5" s="11"/>
    </row>
    <row r="6" spans="1:31" s="47" customFormat="1" x14ac:dyDescent="0.2">
      <c r="A6" s="47">
        <v>3</v>
      </c>
      <c r="B6" s="47">
        <v>1</v>
      </c>
      <c r="C6" s="38" t="s">
        <v>30</v>
      </c>
      <c r="D6" s="38" t="s">
        <v>51</v>
      </c>
      <c r="E6" s="39" t="s">
        <v>88</v>
      </c>
      <c r="F6" s="38">
        <v>4</v>
      </c>
      <c r="G6" s="40">
        <v>40.345999999999997</v>
      </c>
      <c r="H6" s="38" t="s">
        <v>24</v>
      </c>
      <c r="I6" s="38">
        <v>104</v>
      </c>
      <c r="J6" s="40">
        <v>50.484999999999999</v>
      </c>
      <c r="K6" s="38" t="s">
        <v>1</v>
      </c>
      <c r="L6" s="41">
        <v>3110</v>
      </c>
      <c r="M6" s="42">
        <f t="shared" si="11"/>
        <v>-4.6724333333333332</v>
      </c>
      <c r="N6" s="42">
        <f t="shared" si="12"/>
        <v>-104.84141666666666</v>
      </c>
      <c r="O6" s="52">
        <f t="shared" si="13"/>
        <v>1.6523456725414969</v>
      </c>
      <c r="P6" s="52">
        <f t="shared" si="14"/>
        <v>-1.8298279132885915</v>
      </c>
      <c r="Q6" s="53">
        <f t="shared" si="17"/>
        <v>14</v>
      </c>
      <c r="R6" s="53">
        <f t="shared" si="5"/>
        <v>8</v>
      </c>
      <c r="S6" s="11">
        <f>Assumptions!$D$4</f>
        <v>10</v>
      </c>
      <c r="T6" s="11">
        <f t="shared" si="15"/>
        <v>0.8</v>
      </c>
      <c r="U6" s="11">
        <f>Assumptions!$D$6</f>
        <v>0.5</v>
      </c>
      <c r="V6" s="45">
        <f>Assumptions!$D$7</f>
        <v>0.25</v>
      </c>
      <c r="W6" s="11">
        <f>IF(D6="SMOBS", L6/Assumptions!$D$14/60, IF(D6="ARRA", L6/Assumptions!$D$15/60, IF(D6="Abalone",L6/Assumptions!$D$16/60, IF(D6="SPOBS", L6/Assumptions!$D$17/60))))</f>
        <v>1.2958333333333334</v>
      </c>
      <c r="X6" s="45">
        <f>IF(B6=1, Assumptions!$D$10, 0)</f>
        <v>1</v>
      </c>
      <c r="Y6" s="57">
        <f t="shared" si="18"/>
        <v>3.0458333333333334</v>
      </c>
      <c r="Z6" s="55">
        <f t="shared" si="8"/>
        <v>44130.693107638894</v>
      </c>
      <c r="AA6" s="35">
        <f t="shared" si="9"/>
        <v>44130.726440972227</v>
      </c>
      <c r="AB6" s="11">
        <f t="shared" si="10"/>
        <v>223.43458333349554</v>
      </c>
      <c r="AC6" s="11">
        <f t="shared" si="16"/>
        <v>9.3097743055623141</v>
      </c>
      <c r="AE6" s="11"/>
    </row>
    <row r="7" spans="1:31" s="47" customFormat="1" x14ac:dyDescent="0.2">
      <c r="A7" s="47">
        <v>4</v>
      </c>
      <c r="B7" s="47">
        <v>0</v>
      </c>
      <c r="C7" s="38" t="s">
        <v>31</v>
      </c>
      <c r="D7" s="38" t="s">
        <v>51</v>
      </c>
      <c r="E7" s="39" t="s">
        <v>89</v>
      </c>
      <c r="F7" s="38">
        <v>4</v>
      </c>
      <c r="G7" s="40">
        <v>33.018999999999998</v>
      </c>
      <c r="H7" s="38" t="s">
        <v>24</v>
      </c>
      <c r="I7" s="38">
        <v>104</v>
      </c>
      <c r="J7" s="40">
        <v>51.594999999999999</v>
      </c>
      <c r="K7" s="38" t="s">
        <v>1</v>
      </c>
      <c r="L7" s="41">
        <v>3213</v>
      </c>
      <c r="M7" s="42">
        <f t="shared" si="11"/>
        <v>-4.5503166666666663</v>
      </c>
      <c r="N7" s="42">
        <f t="shared" si="12"/>
        <v>-104.85991666666666</v>
      </c>
      <c r="O7" s="52">
        <f t="shared" si="13"/>
        <v>1.6502143346366032</v>
      </c>
      <c r="P7" s="52">
        <f t="shared" si="14"/>
        <v>-1.8301507992002106</v>
      </c>
      <c r="Q7" s="53">
        <f t="shared" si="17"/>
        <v>5</v>
      </c>
      <c r="R7" s="53">
        <f t="shared" si="5"/>
        <v>3</v>
      </c>
      <c r="S7" s="11">
        <f>Assumptions!$D$4</f>
        <v>10</v>
      </c>
      <c r="T7" s="11">
        <f t="shared" si="15"/>
        <v>0.3</v>
      </c>
      <c r="U7" s="11">
        <f>Assumptions!$D$6</f>
        <v>0.5</v>
      </c>
      <c r="V7" s="45">
        <f>Assumptions!$D$7</f>
        <v>0.25</v>
      </c>
      <c r="W7" s="11">
        <f>IF(D7="SMOBS", L7/Assumptions!$D$14/60, IF(D7="ARRA", L7/Assumptions!$D$15/60, IF(D7="Abalone",L7/Assumptions!$D$16/60, IF(D7="SPOBS", L7/Assumptions!$D$17/60))))</f>
        <v>1.3387500000000001</v>
      </c>
      <c r="X7" s="45">
        <f>IF(B7=1, Assumptions!$D$10, 0)</f>
        <v>0</v>
      </c>
      <c r="Y7" s="57">
        <f t="shared" si="18"/>
        <v>2.0887500000000001</v>
      </c>
      <c r="Z7" s="55">
        <f t="shared" si="8"/>
        <v>44130.813472222224</v>
      </c>
      <c r="AA7" s="35">
        <f t="shared" si="9"/>
        <v>44130.825972222221</v>
      </c>
      <c r="AB7" s="11">
        <f t="shared" si="10"/>
        <v>225.82333333336283</v>
      </c>
      <c r="AC7" s="11">
        <f t="shared" si="16"/>
        <v>9.4093055555567844</v>
      </c>
    </row>
    <row r="8" spans="1:31" s="47" customFormat="1" x14ac:dyDescent="0.2">
      <c r="A8" s="47">
        <v>5</v>
      </c>
      <c r="B8" s="47">
        <v>0</v>
      </c>
      <c r="C8" s="38" t="s">
        <v>32</v>
      </c>
      <c r="D8" s="38" t="s">
        <v>51</v>
      </c>
      <c r="E8" s="39" t="s">
        <v>90</v>
      </c>
      <c r="F8" s="38">
        <v>4</v>
      </c>
      <c r="G8" s="40">
        <v>33.107999999999997</v>
      </c>
      <c r="H8" s="38" t="s">
        <v>24</v>
      </c>
      <c r="I8" s="38">
        <v>104</v>
      </c>
      <c r="J8" s="40">
        <v>54.256</v>
      </c>
      <c r="K8" s="38" t="s">
        <v>1</v>
      </c>
      <c r="L8" s="41">
        <v>3350</v>
      </c>
      <c r="M8" s="42">
        <f t="shared" si="11"/>
        <v>-4.5518000000000001</v>
      </c>
      <c r="N8" s="42">
        <f t="shared" si="12"/>
        <v>-104.90426666666667</v>
      </c>
      <c r="O8" s="52">
        <f t="shared" si="13"/>
        <v>1.6502402236871745</v>
      </c>
      <c r="P8" s="52">
        <f t="shared" si="14"/>
        <v>-1.8309248527234703</v>
      </c>
      <c r="Q8" s="53">
        <f t="shared" si="17"/>
        <v>10</v>
      </c>
      <c r="R8" s="53">
        <f t="shared" si="5"/>
        <v>5</v>
      </c>
      <c r="S8" s="11">
        <f>Assumptions!$D$4</f>
        <v>10</v>
      </c>
      <c r="T8" s="11">
        <f t="shared" si="15"/>
        <v>0.5</v>
      </c>
      <c r="U8" s="11">
        <f>Assumptions!$D$6</f>
        <v>0.5</v>
      </c>
      <c r="V8" s="45">
        <f>Assumptions!$D$7</f>
        <v>0.25</v>
      </c>
      <c r="W8" s="11">
        <f>IF(D8="SMOBS", L8/Assumptions!$D$14/60, IF(D8="ARRA", L8/Assumptions!$D$15/60, IF(D8="Abalone",L8/Assumptions!$D$16/60, IF(D8="SPOBS", L8/Assumptions!$D$17/60))))</f>
        <v>1.3958333333333333</v>
      </c>
      <c r="X8" s="45">
        <f>IF(B8=1, Assumptions!$D$10, 0)</f>
        <v>0</v>
      </c>
      <c r="Y8" s="57">
        <f t="shared" si="18"/>
        <v>2.145833333333333</v>
      </c>
      <c r="Z8" s="55">
        <f t="shared" si="8"/>
        <v>44130.91538194444</v>
      </c>
      <c r="AA8" s="35">
        <f t="shared" si="9"/>
        <v>44130.936215277776</v>
      </c>
      <c r="AB8" s="11">
        <f t="shared" si="10"/>
        <v>228.46916666667676</v>
      </c>
      <c r="AC8" s="11">
        <f t="shared" si="16"/>
        <v>9.5195486111115315</v>
      </c>
    </row>
    <row r="9" spans="1:31" s="47" customFormat="1" x14ac:dyDescent="0.2">
      <c r="A9" s="47">
        <v>6</v>
      </c>
      <c r="B9" s="47">
        <v>1</v>
      </c>
      <c r="C9" s="38" t="s">
        <v>33</v>
      </c>
      <c r="D9" s="38" t="s">
        <v>51</v>
      </c>
      <c r="E9" s="39" t="s">
        <v>91</v>
      </c>
      <c r="F9" s="38">
        <v>4</v>
      </c>
      <c r="G9" s="40">
        <v>27.59</v>
      </c>
      <c r="H9" s="38" t="s">
        <v>24</v>
      </c>
      <c r="I9" s="38">
        <v>104</v>
      </c>
      <c r="J9" s="40">
        <v>54.825000000000003</v>
      </c>
      <c r="K9" s="38" t="s">
        <v>1</v>
      </c>
      <c r="L9" s="41">
        <v>3265</v>
      </c>
      <c r="M9" s="42">
        <f t="shared" si="11"/>
        <v>-4.4598333333333331</v>
      </c>
      <c r="N9" s="42">
        <f t="shared" si="12"/>
        <v>-104.91374999999999</v>
      </c>
      <c r="O9" s="52">
        <f t="shared" si="13"/>
        <v>1.6486351025517572</v>
      </c>
      <c r="P9" s="52">
        <f t="shared" si="14"/>
        <v>-1.8310903681142008</v>
      </c>
      <c r="Q9" s="53">
        <f t="shared" si="17"/>
        <v>20</v>
      </c>
      <c r="R9" s="53">
        <f t="shared" si="5"/>
        <v>11</v>
      </c>
      <c r="S9" s="11">
        <f>Assumptions!$D$4</f>
        <v>10</v>
      </c>
      <c r="T9" s="11">
        <f t="shared" si="15"/>
        <v>1.1000000000000001</v>
      </c>
      <c r="U9" s="11">
        <f>Assumptions!$D$6</f>
        <v>0.5</v>
      </c>
      <c r="V9" s="45">
        <f>Assumptions!$D$7</f>
        <v>0.25</v>
      </c>
      <c r="W9" s="11">
        <f>IF(D9="SMOBS", L9/Assumptions!$D$14/60, IF(D9="ARRA", L9/Assumptions!$D$15/60, IF(D9="Abalone",L9/Assumptions!$D$16/60, IF(D9="SPOBS", L9/Assumptions!$D$17/60))))</f>
        <v>1.3604166666666666</v>
      </c>
      <c r="X9" s="45">
        <f>IF(B9=1, Assumptions!$D$10, 0)</f>
        <v>1</v>
      </c>
      <c r="Y9" s="57">
        <f t="shared" si="18"/>
        <v>3.1104166666666666</v>
      </c>
      <c r="Z9" s="55">
        <f t="shared" si="8"/>
        <v>44131.065815972222</v>
      </c>
      <c r="AA9" s="35">
        <f t="shared" si="9"/>
        <v>44131.111649305552</v>
      </c>
      <c r="AB9" s="11">
        <f t="shared" si="10"/>
        <v>232.67958333331626</v>
      </c>
      <c r="AC9" s="11">
        <f t="shared" si="16"/>
        <v>9.6949826388881775</v>
      </c>
    </row>
    <row r="10" spans="1:31" s="47" customFormat="1" x14ac:dyDescent="0.2">
      <c r="A10" s="47">
        <v>7</v>
      </c>
      <c r="B10" s="47">
        <v>1</v>
      </c>
      <c r="C10" s="38" t="s">
        <v>34</v>
      </c>
      <c r="D10" s="38" t="s">
        <v>51</v>
      </c>
      <c r="E10" s="39" t="s">
        <v>92</v>
      </c>
      <c r="F10" s="38">
        <v>4</v>
      </c>
      <c r="G10" s="40">
        <v>38.414000000000001</v>
      </c>
      <c r="H10" s="38" t="s">
        <v>24</v>
      </c>
      <c r="I10" s="38">
        <v>104</v>
      </c>
      <c r="J10" s="40">
        <v>56.884</v>
      </c>
      <c r="K10" s="38" t="s">
        <v>1</v>
      </c>
      <c r="L10" s="41">
        <v>3034</v>
      </c>
      <c r="M10" s="42">
        <f t="shared" si="11"/>
        <v>-4.6402333333333337</v>
      </c>
      <c r="N10" s="42">
        <f t="shared" si="12"/>
        <v>-104.94806666666666</v>
      </c>
      <c r="O10" s="52">
        <f t="shared" si="13"/>
        <v>1.6517836765223548</v>
      </c>
      <c r="P10" s="52">
        <f t="shared" si="14"/>
        <v>-1.8316893069358435</v>
      </c>
      <c r="Q10" s="53">
        <f t="shared" si="17"/>
        <v>12</v>
      </c>
      <c r="R10" s="53">
        <f t="shared" si="5"/>
        <v>6</v>
      </c>
      <c r="S10" s="11">
        <f>Assumptions!$D$4</f>
        <v>10</v>
      </c>
      <c r="T10" s="11">
        <f t="shared" si="15"/>
        <v>0.6</v>
      </c>
      <c r="U10" s="11">
        <f>Assumptions!$D$6</f>
        <v>0.5</v>
      </c>
      <c r="V10" s="45">
        <f>Assumptions!$D$7</f>
        <v>0.25</v>
      </c>
      <c r="W10" s="11">
        <f>IF(D10="SMOBS", L10/Assumptions!$D$14/60, IF(D10="ARRA", L10/Assumptions!$D$15/60, IF(D10="Abalone",L10/Assumptions!$D$16/60, IF(D10="SPOBS", L10/Assumptions!$D$17/60))))</f>
        <v>1.2641666666666667</v>
      </c>
      <c r="X10" s="45">
        <f>IF(B10=1, Assumptions!$D$10, 0)</f>
        <v>1</v>
      </c>
      <c r="Y10" s="57">
        <f t="shared" si="18"/>
        <v>3.0141666666666667</v>
      </c>
      <c r="Z10" s="55">
        <f t="shared" si="8"/>
        <v>44131.23723958333</v>
      </c>
      <c r="AA10" s="35">
        <f t="shared" si="9"/>
        <v>44131.262239583331</v>
      </c>
      <c r="AB10" s="11">
        <f t="shared" si="10"/>
        <v>236.29375000001164</v>
      </c>
      <c r="AC10" s="11">
        <f t="shared" si="16"/>
        <v>9.8455729166671517</v>
      </c>
    </row>
    <row r="11" spans="1:31" s="47" customFormat="1" x14ac:dyDescent="0.2">
      <c r="A11" s="47">
        <v>8</v>
      </c>
      <c r="B11" s="47">
        <v>0</v>
      </c>
      <c r="C11" s="38" t="s">
        <v>35</v>
      </c>
      <c r="D11" s="38" t="s">
        <v>51</v>
      </c>
      <c r="E11" s="39" t="s">
        <v>93</v>
      </c>
      <c r="F11" s="38">
        <v>4</v>
      </c>
      <c r="G11" s="40">
        <v>31.962</v>
      </c>
      <c r="H11" s="38" t="s">
        <v>24</v>
      </c>
      <c r="I11" s="38">
        <v>104</v>
      </c>
      <c r="J11" s="40">
        <v>56.908000000000001</v>
      </c>
      <c r="K11" s="38" t="s">
        <v>1</v>
      </c>
      <c r="L11" s="41">
        <v>3047</v>
      </c>
      <c r="M11" s="42">
        <f t="shared" si="11"/>
        <v>-4.5327000000000002</v>
      </c>
      <c r="N11" s="42">
        <f t="shared" si="12"/>
        <v>-104.94846666666666</v>
      </c>
      <c r="O11" s="52">
        <f t="shared" si="13"/>
        <v>1.6499068658000438</v>
      </c>
      <c r="P11" s="52">
        <f t="shared" si="14"/>
        <v>-1.8316962882528516</v>
      </c>
      <c r="Q11" s="53">
        <f t="shared" si="17"/>
        <v>5</v>
      </c>
      <c r="R11" s="53">
        <f t="shared" si="5"/>
        <v>3</v>
      </c>
      <c r="S11" s="11">
        <f>Assumptions!$D$4</f>
        <v>10</v>
      </c>
      <c r="T11" s="11">
        <f t="shared" si="15"/>
        <v>0.3</v>
      </c>
      <c r="U11" s="11">
        <f>Assumptions!$D$6</f>
        <v>0.5</v>
      </c>
      <c r="V11" s="45">
        <f>Assumptions!$D$7</f>
        <v>0.25</v>
      </c>
      <c r="W11" s="11">
        <f>IF(D11="SMOBS", L11/Assumptions!$D$14/60, IF(D11="ARRA", L11/Assumptions!$D$15/60, IF(D11="Abalone",L11/Assumptions!$D$16/60, IF(D11="SPOBS", L11/Assumptions!$D$17/60))))</f>
        <v>1.2695833333333333</v>
      </c>
      <c r="X11" s="45">
        <f>IF(B11=1, Assumptions!$D$10, 0)</f>
        <v>0</v>
      </c>
      <c r="Y11" s="57">
        <f t="shared" si="18"/>
        <v>2.0195833333333333</v>
      </c>
      <c r="Z11" s="55">
        <f t="shared" si="8"/>
        <v>44131.346388888887</v>
      </c>
      <c r="AA11" s="35">
        <f t="shared" si="9"/>
        <v>44131.358888888884</v>
      </c>
      <c r="AB11" s="11">
        <f t="shared" si="10"/>
        <v>238.61333333328366</v>
      </c>
      <c r="AC11" s="11">
        <f t="shared" si="16"/>
        <v>9.9422222222201526</v>
      </c>
    </row>
    <row r="12" spans="1:31" s="47" customFormat="1" x14ac:dyDescent="0.2">
      <c r="A12" s="47">
        <v>9</v>
      </c>
      <c r="B12" s="47">
        <v>0</v>
      </c>
      <c r="C12" s="38" t="s">
        <v>36</v>
      </c>
      <c r="D12" s="38" t="s">
        <v>51</v>
      </c>
      <c r="E12" s="39" t="s">
        <v>94</v>
      </c>
      <c r="F12" s="38">
        <v>4</v>
      </c>
      <c r="G12" s="40">
        <v>32.491999999999997</v>
      </c>
      <c r="H12" s="38" t="s">
        <v>24</v>
      </c>
      <c r="I12" s="38">
        <v>104</v>
      </c>
      <c r="J12" s="40">
        <v>59.584000000000003</v>
      </c>
      <c r="K12" s="38" t="s">
        <v>1</v>
      </c>
      <c r="L12" s="41">
        <v>3567</v>
      </c>
      <c r="M12" s="42">
        <f t="shared" si="11"/>
        <v>-4.5415333333333336</v>
      </c>
      <c r="N12" s="42">
        <f t="shared" si="12"/>
        <v>-104.99306666666666</v>
      </c>
      <c r="O12" s="52">
        <f t="shared" si="13"/>
        <v>1.6500610365506363</v>
      </c>
      <c r="P12" s="52">
        <f t="shared" si="14"/>
        <v>-1.8324747050992409</v>
      </c>
      <c r="Q12" s="53">
        <f t="shared" si="17"/>
        <v>11</v>
      </c>
      <c r="R12" s="53">
        <f t="shared" si="5"/>
        <v>6</v>
      </c>
      <c r="S12" s="11">
        <f>Assumptions!$D$4</f>
        <v>10</v>
      </c>
      <c r="T12" s="11">
        <f t="shared" si="15"/>
        <v>0.6</v>
      </c>
      <c r="U12" s="11">
        <f>Assumptions!$D$6</f>
        <v>0.5</v>
      </c>
      <c r="V12" s="45">
        <f>Assumptions!$D$7</f>
        <v>0.25</v>
      </c>
      <c r="W12" s="11">
        <f>IF(D12="SMOBS", L12/Assumptions!$D$14/60, IF(D12="ARRA", L12/Assumptions!$D$15/60, IF(D12="Abalone",L12/Assumptions!$D$16/60, IF(D12="SPOBS", L12/Assumptions!$D$17/60))))</f>
        <v>1.4862499999999998</v>
      </c>
      <c r="X12" s="45">
        <f>IF(B12=1, Assumptions!$D$10, 0)</f>
        <v>0</v>
      </c>
      <c r="Y12" s="57">
        <f t="shared" si="18"/>
        <v>2.2362500000000001</v>
      </c>
      <c r="Z12" s="55">
        <f t="shared" si="8"/>
        <v>44131.452065972218</v>
      </c>
      <c r="AA12" s="35">
        <f t="shared" si="9"/>
        <v>44131.47706597222</v>
      </c>
      <c r="AB12" s="11">
        <f t="shared" si="10"/>
        <v>241.44958333333489</v>
      </c>
      <c r="AC12" s="11">
        <f t="shared" si="16"/>
        <v>10.06039930555562</v>
      </c>
    </row>
    <row r="13" spans="1:31" s="47" customFormat="1" x14ac:dyDescent="0.2">
      <c r="A13" s="47">
        <v>10</v>
      </c>
      <c r="B13" s="47">
        <v>1</v>
      </c>
      <c r="C13" s="38" t="s">
        <v>27</v>
      </c>
      <c r="D13" s="38" t="s">
        <v>51</v>
      </c>
      <c r="E13" s="39" t="s">
        <v>95</v>
      </c>
      <c r="F13" s="38">
        <v>4</v>
      </c>
      <c r="G13" s="40">
        <v>26.669</v>
      </c>
      <c r="H13" s="38" t="s">
        <v>24</v>
      </c>
      <c r="I13" s="38">
        <v>105</v>
      </c>
      <c r="J13" s="40">
        <v>1.1919999999999999</v>
      </c>
      <c r="K13" s="38" t="s">
        <v>1</v>
      </c>
      <c r="L13" s="41">
        <v>2798</v>
      </c>
      <c r="M13" s="42">
        <f t="shared" si="11"/>
        <v>-4.4444833333333333</v>
      </c>
      <c r="N13" s="42">
        <f t="shared" si="12"/>
        <v>-105.01986666666667</v>
      </c>
      <c r="O13" s="52">
        <f t="shared" si="13"/>
        <v>1.6483671945115759</v>
      </c>
      <c r="P13" s="52">
        <f t="shared" si="14"/>
        <v>-1.8329424533387757</v>
      </c>
      <c r="Q13" s="53">
        <f t="shared" si="17"/>
        <v>107</v>
      </c>
      <c r="R13" s="53">
        <f t="shared" si="5"/>
        <v>58</v>
      </c>
      <c r="S13" s="11">
        <f>Assumptions!$D$4</f>
        <v>10</v>
      </c>
      <c r="T13" s="11">
        <f t="shared" si="15"/>
        <v>5.8</v>
      </c>
      <c r="U13" s="11">
        <f>Assumptions!$D$6</f>
        <v>0.5</v>
      </c>
      <c r="V13" s="45">
        <f>Assumptions!$D$7</f>
        <v>0.25</v>
      </c>
      <c r="W13" s="11">
        <f>IF(D13="SMOBS", L13/Assumptions!$D$14/60, IF(D13="ARRA", L13/Assumptions!$D$15/60, IF(D13="Abalone",L13/Assumptions!$D$16/60, IF(D13="SPOBS", L13/Assumptions!$D$17/60))))</f>
        <v>1.1658333333333333</v>
      </c>
      <c r="X13" s="45">
        <f>IF(B13=1, Assumptions!$D$10, 0)</f>
        <v>1</v>
      </c>
      <c r="Y13" s="57">
        <f t="shared" si="18"/>
        <v>2.9158333333333335</v>
      </c>
      <c r="Z13" s="55">
        <f t="shared" si="8"/>
        <v>44131.598559027778</v>
      </c>
      <c r="AA13" s="35">
        <f t="shared" si="9"/>
        <v>44131.840225694446</v>
      </c>
      <c r="AB13" s="11">
        <f t="shared" si="10"/>
        <v>250.16541666677222</v>
      </c>
      <c r="AC13" s="11">
        <f t="shared" si="16"/>
        <v>10.423559027782176</v>
      </c>
    </row>
    <row r="14" spans="1:31" s="47" customFormat="1" x14ac:dyDescent="0.2">
      <c r="A14" s="47">
        <v>14</v>
      </c>
      <c r="B14" s="47">
        <v>0</v>
      </c>
      <c r="C14" s="38" t="s">
        <v>55</v>
      </c>
      <c r="D14" s="38" t="s">
        <v>53</v>
      </c>
      <c r="E14" s="39" t="s">
        <v>107</v>
      </c>
      <c r="F14" s="38">
        <v>4</v>
      </c>
      <c r="G14" s="40">
        <v>32.705599999999997</v>
      </c>
      <c r="H14" s="38" t="s">
        <v>24</v>
      </c>
      <c r="I14" s="38">
        <v>105</v>
      </c>
      <c r="J14" s="40">
        <v>58.808700000000002</v>
      </c>
      <c r="K14" s="38" t="s">
        <v>1</v>
      </c>
      <c r="L14" s="43">
        <v>3282</v>
      </c>
      <c r="M14" s="42">
        <f t="shared" si="11"/>
        <v>-4.545093333333333</v>
      </c>
      <c r="N14" s="42">
        <f t="shared" si="12"/>
        <v>-105.98014499999999</v>
      </c>
      <c r="O14" s="52">
        <f t="shared" si="13"/>
        <v>1.6501231702720074</v>
      </c>
      <c r="P14" s="52">
        <f t="shared" si="14"/>
        <v>-1.8497024719910058</v>
      </c>
      <c r="Q14" s="53">
        <f t="shared" si="17"/>
        <v>1</v>
      </c>
      <c r="R14" s="53">
        <f t="shared" si="5"/>
        <v>1</v>
      </c>
      <c r="S14" s="11">
        <f>Assumptions!$D$4</f>
        <v>10</v>
      </c>
      <c r="T14" s="11">
        <f t="shared" si="15"/>
        <v>0.1</v>
      </c>
      <c r="U14" s="11">
        <f>Assumptions!$D$7</f>
        <v>0.25</v>
      </c>
      <c r="V14" s="45">
        <f>Assumptions!$D$7</f>
        <v>0.25</v>
      </c>
      <c r="W14" s="11">
        <f>IF(D14="SMOBS", L14/Assumptions!$D$14/60, IF(D14="ARRA", L14/Assumptions!$D$15/60, IF(D14="Abalone",L14/Assumptions!$D$16/60, IF(D14="SPOBS", L14/Assumptions!$D$17/60))))</f>
        <v>1.6575757575757575</v>
      </c>
      <c r="X14" s="45">
        <f>IF(B14=1, Assumptions!$D$10, 0)</f>
        <v>0</v>
      </c>
      <c r="Y14" s="57">
        <f t="shared" si="18"/>
        <v>2.1575757575757573</v>
      </c>
      <c r="Z14" s="55">
        <f t="shared" si="8"/>
        <v>44131.930124684346</v>
      </c>
      <c r="AA14" s="35">
        <f t="shared" si="9"/>
        <v>44131.934291351012</v>
      </c>
      <c r="AB14" s="11">
        <f t="shared" si="10"/>
        <v>252.42299242434092</v>
      </c>
      <c r="AC14" s="11">
        <f t="shared" si="16"/>
        <v>10.517624684347538</v>
      </c>
    </row>
    <row r="15" spans="1:31" s="47" customFormat="1" x14ac:dyDescent="0.2">
      <c r="A15" s="47">
        <v>11</v>
      </c>
      <c r="B15" s="47">
        <v>0</v>
      </c>
      <c r="C15" s="38" t="s">
        <v>56</v>
      </c>
      <c r="D15" s="38" t="s">
        <v>53</v>
      </c>
      <c r="E15" s="39" t="s">
        <v>108</v>
      </c>
      <c r="F15" s="38">
        <v>4</v>
      </c>
      <c r="G15" s="40">
        <v>32.405790000000003</v>
      </c>
      <c r="H15" s="38" t="s">
        <v>24</v>
      </c>
      <c r="I15" s="38">
        <v>105</v>
      </c>
      <c r="J15" s="40">
        <v>58.591360000000002</v>
      </c>
      <c r="K15" s="38" t="s">
        <v>1</v>
      </c>
      <c r="L15" s="41">
        <v>3260</v>
      </c>
      <c r="M15" s="42">
        <f t="shared" si="11"/>
        <v>-4.5400964999999998</v>
      </c>
      <c r="N15" s="42">
        <f t="shared" si="12"/>
        <v>-105.97652266666667</v>
      </c>
      <c r="O15" s="52">
        <f t="shared" si="13"/>
        <v>1.6500359590781675</v>
      </c>
      <c r="P15" s="52">
        <f t="shared" si="14"/>
        <v>-1.8496392503477344</v>
      </c>
      <c r="Q15" s="53">
        <f t="shared" si="17"/>
        <v>1</v>
      </c>
      <c r="R15" s="53">
        <f t="shared" si="5"/>
        <v>1</v>
      </c>
      <c r="S15" s="11">
        <f>Assumptions!$D$4</f>
        <v>10</v>
      </c>
      <c r="T15" s="11">
        <f t="shared" si="15"/>
        <v>0.1</v>
      </c>
      <c r="U15" s="11">
        <f>Assumptions!$D$7</f>
        <v>0.25</v>
      </c>
      <c r="V15" s="45">
        <f>Assumptions!$D$7</f>
        <v>0.25</v>
      </c>
      <c r="W15" s="11">
        <f>IF(D15="SMOBS", L15/Assumptions!$D$14/60, IF(D15="ARRA", L15/Assumptions!$D$15/60, IF(D15="Abalone",L15/Assumptions!$D$16/60, IF(D15="SPOBS", L15/Assumptions!$D$17/60))))</f>
        <v>1.6464646464646464</v>
      </c>
      <c r="X15" s="45">
        <f>IF(B15=1, Assumptions!$D$10, 0)</f>
        <v>0</v>
      </c>
      <c r="Y15" s="57">
        <f t="shared" si="18"/>
        <v>2.1464646464646462</v>
      </c>
      <c r="Z15" s="55">
        <f t="shared" si="8"/>
        <v>44132.023727377949</v>
      </c>
      <c r="AA15" s="35">
        <f t="shared" si="9"/>
        <v>44132.027894044615</v>
      </c>
      <c r="AB15" s="11">
        <f t="shared" si="10"/>
        <v>254.6694570708205</v>
      </c>
      <c r="AC15" s="11">
        <f t="shared" si="16"/>
        <v>10.611227377950854</v>
      </c>
    </row>
    <row r="16" spans="1:31" s="47" customFormat="1" x14ac:dyDescent="0.2">
      <c r="A16" s="47">
        <v>12</v>
      </c>
      <c r="B16" s="47">
        <v>0</v>
      </c>
      <c r="C16" s="38" t="s">
        <v>57</v>
      </c>
      <c r="D16" s="38" t="s">
        <v>53</v>
      </c>
      <c r="E16" s="39" t="s">
        <v>109</v>
      </c>
      <c r="F16" s="38">
        <v>4</v>
      </c>
      <c r="G16" s="40">
        <v>32.075629999999997</v>
      </c>
      <c r="H16" s="38" t="s">
        <v>24</v>
      </c>
      <c r="I16" s="38">
        <v>105</v>
      </c>
      <c r="J16" s="40">
        <v>58.325830000000003</v>
      </c>
      <c r="K16" s="38" t="s">
        <v>1</v>
      </c>
      <c r="L16" s="41">
        <v>3174</v>
      </c>
      <c r="M16" s="42">
        <f t="shared" si="11"/>
        <v>-4.5345938333333331</v>
      </c>
      <c r="N16" s="42">
        <f t="shared" si="12"/>
        <v>-105.97209716666667</v>
      </c>
      <c r="O16" s="52">
        <f t="shared" si="13"/>
        <v>1.6499399194271942</v>
      </c>
      <c r="P16" s="52">
        <f t="shared" si="14"/>
        <v>-1.8495620108016875</v>
      </c>
      <c r="Q16" s="53">
        <f t="shared" si="17"/>
        <v>1</v>
      </c>
      <c r="R16" s="53">
        <f t="shared" si="5"/>
        <v>1</v>
      </c>
      <c r="S16" s="11">
        <f>Assumptions!$D$4</f>
        <v>10</v>
      </c>
      <c r="T16" s="11">
        <f t="shared" si="15"/>
        <v>0.1</v>
      </c>
      <c r="U16" s="11">
        <f>Assumptions!$D$7</f>
        <v>0.25</v>
      </c>
      <c r="V16" s="45">
        <f>Assumptions!$D$7</f>
        <v>0.25</v>
      </c>
      <c r="W16" s="11">
        <f>IF(D16="SMOBS", L16/Assumptions!$D$14/60, IF(D16="ARRA", L16/Assumptions!$D$15/60, IF(D16="Abalone",L16/Assumptions!$D$16/60, IF(D16="SPOBS", L16/Assumptions!$D$17/60))))</f>
        <v>1.603030303030303</v>
      </c>
      <c r="X16" s="45">
        <f>IF(B16=1, Assumptions!$D$10, 0)</f>
        <v>0</v>
      </c>
      <c r="Y16" s="57">
        <f t="shared" si="18"/>
        <v>2.103030303030303</v>
      </c>
      <c r="Z16" s="55">
        <f t="shared" si="8"/>
        <v>44132.115520307241</v>
      </c>
      <c r="AA16" s="35">
        <f t="shared" si="9"/>
        <v>44132.119686973907</v>
      </c>
      <c r="AB16" s="11">
        <f t="shared" si="10"/>
        <v>256.8724873738247</v>
      </c>
      <c r="AC16" s="11">
        <f t="shared" si="16"/>
        <v>10.703020307242696</v>
      </c>
    </row>
    <row r="17" spans="1:29" s="47" customFormat="1" x14ac:dyDescent="0.2">
      <c r="A17" s="47">
        <v>13</v>
      </c>
      <c r="B17" s="47">
        <v>0</v>
      </c>
      <c r="C17" s="38" t="s">
        <v>58</v>
      </c>
      <c r="D17" s="38" t="s">
        <v>53</v>
      </c>
      <c r="E17" s="39" t="s">
        <v>110</v>
      </c>
      <c r="F17" s="38">
        <v>4</v>
      </c>
      <c r="G17" s="40">
        <v>32.784649999999999</v>
      </c>
      <c r="H17" s="38" t="s">
        <v>24</v>
      </c>
      <c r="I17" s="38">
        <v>105</v>
      </c>
      <c r="J17" s="40">
        <v>58.436109999999999</v>
      </c>
      <c r="K17" s="38" t="s">
        <v>1</v>
      </c>
      <c r="L17" s="41">
        <v>3300</v>
      </c>
      <c r="M17" s="42">
        <f t="shared" si="11"/>
        <v>-4.5464108333333328</v>
      </c>
      <c r="N17" s="42">
        <f t="shared" si="12"/>
        <v>-105.97393516666666</v>
      </c>
      <c r="O17" s="52">
        <f t="shared" si="13"/>
        <v>1.6501461649849025</v>
      </c>
      <c r="P17" s="52">
        <f t="shared" si="14"/>
        <v>-1.849594089953339</v>
      </c>
      <c r="Q17" s="53">
        <f t="shared" si="17"/>
        <v>1</v>
      </c>
      <c r="R17" s="53">
        <f t="shared" si="5"/>
        <v>1</v>
      </c>
      <c r="S17" s="11">
        <f>Assumptions!$D$4</f>
        <v>10</v>
      </c>
      <c r="T17" s="11">
        <f t="shared" si="15"/>
        <v>0.1</v>
      </c>
      <c r="U17" s="11">
        <f>Assumptions!$D$7</f>
        <v>0.25</v>
      </c>
      <c r="V17" s="45">
        <f>Assumptions!$D$7</f>
        <v>0.25</v>
      </c>
      <c r="W17" s="11">
        <f>IF(D17="SMOBS", L17/Assumptions!$D$14/60, IF(D17="ARRA", L17/Assumptions!$D$15/60, IF(D17="Abalone",L17/Assumptions!$D$16/60, IF(D17="SPOBS", L17/Assumptions!$D$17/60))))</f>
        <v>1.6666666666666667</v>
      </c>
      <c r="X17" s="45">
        <f>IF(B17=1, Assumptions!$D$10, 0)</f>
        <v>0</v>
      </c>
      <c r="Y17" s="57">
        <f t="shared" si="18"/>
        <v>2.166666666666667</v>
      </c>
      <c r="Z17" s="55">
        <f t="shared" si="8"/>
        <v>44132.209964751688</v>
      </c>
      <c r="AA17" s="35">
        <f t="shared" si="9"/>
        <v>44132.214131418354</v>
      </c>
      <c r="AB17" s="11">
        <f t="shared" si="10"/>
        <v>259.13915404054569</v>
      </c>
      <c r="AC17" s="11">
        <f t="shared" si="16"/>
        <v>10.797464751689404</v>
      </c>
    </row>
    <row r="18" spans="1:29" s="47" customFormat="1" x14ac:dyDescent="0.2">
      <c r="A18" s="47">
        <v>15</v>
      </c>
      <c r="B18" s="47">
        <v>0</v>
      </c>
      <c r="C18" s="38" t="s">
        <v>59</v>
      </c>
      <c r="D18" s="38" t="s">
        <v>53</v>
      </c>
      <c r="E18" s="39" t="s">
        <v>111</v>
      </c>
      <c r="F18" s="38">
        <v>4</v>
      </c>
      <c r="G18" s="40">
        <v>32.654150000000001</v>
      </c>
      <c r="H18" s="38" t="s">
        <v>24</v>
      </c>
      <c r="I18" s="38">
        <v>105</v>
      </c>
      <c r="J18" s="40">
        <v>58.167009999999998</v>
      </c>
      <c r="K18" s="38" t="s">
        <v>1</v>
      </c>
      <c r="L18" s="41">
        <v>3282</v>
      </c>
      <c r="M18" s="42">
        <f t="shared" si="11"/>
        <v>-4.5442358333333335</v>
      </c>
      <c r="N18" s="42">
        <f t="shared" si="12"/>
        <v>-105.96945016666666</v>
      </c>
      <c r="O18" s="52">
        <f t="shared" si="13"/>
        <v>1.6501082040736714</v>
      </c>
      <c r="P18" s="52">
        <f t="shared" si="14"/>
        <v>-1.849515811936387</v>
      </c>
      <c r="Q18" s="53">
        <f t="shared" si="17"/>
        <v>0</v>
      </c>
      <c r="R18" s="53">
        <f t="shared" si="5"/>
        <v>0</v>
      </c>
      <c r="S18" s="11">
        <f>Assumptions!$D$4</f>
        <v>10</v>
      </c>
      <c r="T18" s="11">
        <f t="shared" si="15"/>
        <v>0</v>
      </c>
      <c r="U18" s="11">
        <f>Assumptions!$D$7</f>
        <v>0.25</v>
      </c>
      <c r="V18" s="45">
        <f>Assumptions!$D$7</f>
        <v>0.25</v>
      </c>
      <c r="W18" s="11">
        <f>IF(D18="SMOBS", L18/Assumptions!$D$14/60, IF(D18="ARRA", L18/Assumptions!$D$15/60, IF(D18="Abalone",L18/Assumptions!$D$16/60, IF(D18="SPOBS", L18/Assumptions!$D$17/60))))</f>
        <v>1.6575757575757575</v>
      </c>
      <c r="X18" s="45">
        <f>IF(B18=1, Assumptions!$D$10, 0)</f>
        <v>0</v>
      </c>
      <c r="Y18" s="57">
        <f t="shared" si="18"/>
        <v>2.1575757575757573</v>
      </c>
      <c r="Z18" s="55">
        <f t="shared" si="8"/>
        <v>44132.304030408253</v>
      </c>
      <c r="AA18" s="35">
        <f t="shared" si="9"/>
        <v>44132.304030408253</v>
      </c>
      <c r="AB18" s="11">
        <f t="shared" si="10"/>
        <v>261.29672979813768</v>
      </c>
      <c r="AC18" s="11">
        <f t="shared" si="16"/>
        <v>10.88736374158907</v>
      </c>
    </row>
    <row r="19" spans="1:29" s="47" customFormat="1" x14ac:dyDescent="0.2">
      <c r="A19" s="47">
        <v>16</v>
      </c>
      <c r="B19" s="47">
        <v>0</v>
      </c>
      <c r="C19" s="38" t="s">
        <v>60</v>
      </c>
      <c r="D19" s="38" t="s">
        <v>53</v>
      </c>
      <c r="E19" s="39" t="s">
        <v>112</v>
      </c>
      <c r="F19" s="38">
        <v>4</v>
      </c>
      <c r="G19" s="40">
        <v>32.656269999999999</v>
      </c>
      <c r="H19" s="38" t="s">
        <v>24</v>
      </c>
      <c r="I19" s="38">
        <v>105</v>
      </c>
      <c r="J19" s="40">
        <v>57.970179999999999</v>
      </c>
      <c r="K19" s="38" t="s">
        <v>1</v>
      </c>
      <c r="L19" s="41">
        <v>3325</v>
      </c>
      <c r="M19" s="42">
        <f t="shared" si="11"/>
        <v>-4.5442711666666664</v>
      </c>
      <c r="N19" s="42">
        <f t="shared" si="12"/>
        <v>-105.96616966666667</v>
      </c>
      <c r="O19" s="52">
        <f t="shared" si="13"/>
        <v>1.6501088207566739</v>
      </c>
      <c r="P19" s="52">
        <f t="shared" si="14"/>
        <v>-1.8494585564102757</v>
      </c>
      <c r="Q19" s="53">
        <f t="shared" si="17"/>
        <v>0</v>
      </c>
      <c r="R19" s="53">
        <f t="shared" si="5"/>
        <v>0</v>
      </c>
      <c r="S19" s="11">
        <f>Assumptions!$D$4</f>
        <v>10</v>
      </c>
      <c r="T19" s="11">
        <f t="shared" si="15"/>
        <v>0</v>
      </c>
      <c r="U19" s="11">
        <f>Assumptions!$D$7</f>
        <v>0.25</v>
      </c>
      <c r="V19" s="45">
        <f>Assumptions!$D$7</f>
        <v>0.25</v>
      </c>
      <c r="W19" s="11">
        <f>IF(D19="SMOBS", L19/Assumptions!$D$14/60, IF(D19="ARRA", L19/Assumptions!$D$15/60, IF(D19="Abalone",L19/Assumptions!$D$16/60, IF(D19="SPOBS", L19/Assumptions!$D$17/60))))</f>
        <v>1.6792929292929293</v>
      </c>
      <c r="X19" s="45">
        <f>IF(B19=1, Assumptions!$D$10, 0)</f>
        <v>0</v>
      </c>
      <c r="Y19" s="57">
        <f t="shared" si="18"/>
        <v>2.1792929292929291</v>
      </c>
      <c r="Z19" s="55">
        <f t="shared" si="8"/>
        <v>44132.394834280305</v>
      </c>
      <c r="AA19" s="35">
        <f t="shared" si="9"/>
        <v>44132.394834280305</v>
      </c>
      <c r="AB19" s="11">
        <f t="shared" si="10"/>
        <v>263.47602272738004</v>
      </c>
      <c r="AC19" s="11">
        <f t="shared" si="16"/>
        <v>10.978167613640835</v>
      </c>
    </row>
    <row r="20" spans="1:29" s="47" customFormat="1" x14ac:dyDescent="0.2">
      <c r="A20" s="47">
        <v>17</v>
      </c>
      <c r="B20" s="47">
        <v>0</v>
      </c>
      <c r="C20" s="38" t="s">
        <v>61</v>
      </c>
      <c r="D20" s="38" t="s">
        <v>53</v>
      </c>
      <c r="E20" s="39" t="s">
        <v>113</v>
      </c>
      <c r="F20" s="38">
        <v>4</v>
      </c>
      <c r="G20" s="40">
        <v>32.558909999999997</v>
      </c>
      <c r="H20" s="38" t="s">
        <v>24</v>
      </c>
      <c r="I20" s="38">
        <v>105</v>
      </c>
      <c r="J20" s="40">
        <v>57.731520000000003</v>
      </c>
      <c r="K20" s="38" t="s">
        <v>1</v>
      </c>
      <c r="L20" s="41">
        <v>3303</v>
      </c>
      <c r="M20" s="42">
        <f t="shared" si="11"/>
        <v>-4.5426485000000003</v>
      </c>
      <c r="N20" s="42">
        <f t="shared" si="12"/>
        <v>-105.962192</v>
      </c>
      <c r="O20" s="52">
        <f t="shared" si="13"/>
        <v>1.6500804998806782</v>
      </c>
      <c r="P20" s="52">
        <f t="shared" si="14"/>
        <v>-1.8493891330303953</v>
      </c>
      <c r="Q20" s="53">
        <f t="shared" si="17"/>
        <v>0</v>
      </c>
      <c r="R20" s="53">
        <f t="shared" si="5"/>
        <v>0</v>
      </c>
      <c r="S20" s="11">
        <f>Assumptions!$D$4</f>
        <v>10</v>
      </c>
      <c r="T20" s="11">
        <f t="shared" si="15"/>
        <v>0</v>
      </c>
      <c r="U20" s="11">
        <f>Assumptions!$D$7</f>
        <v>0.25</v>
      </c>
      <c r="V20" s="45">
        <f>Assumptions!$D$7</f>
        <v>0.25</v>
      </c>
      <c r="W20" s="11">
        <f>IF(D20="SMOBS", L20/Assumptions!$D$14/60, IF(D20="ARRA", L20/Assumptions!$D$15/60, IF(D20="Abalone",L20/Assumptions!$D$16/60, IF(D20="SPOBS", L20/Assumptions!$D$17/60))))</f>
        <v>1.6681818181818182</v>
      </c>
      <c r="X20" s="45">
        <f>IF(B20=1, Assumptions!$D$10, 0)</f>
        <v>0</v>
      </c>
      <c r="Y20" s="57">
        <f t="shared" si="18"/>
        <v>2.168181818181818</v>
      </c>
      <c r="Z20" s="55">
        <f t="shared" si="8"/>
        <v>44132.485175189395</v>
      </c>
      <c r="AA20" s="35">
        <f t="shared" si="9"/>
        <v>44132.485175189395</v>
      </c>
      <c r="AB20" s="11">
        <f t="shared" si="10"/>
        <v>265.64420454553328</v>
      </c>
      <c r="AC20" s="11">
        <f t="shared" si="16"/>
        <v>11.068508522730554</v>
      </c>
    </row>
    <row r="21" spans="1:29" s="47" customFormat="1" x14ac:dyDescent="0.2">
      <c r="A21" s="47">
        <v>18</v>
      </c>
      <c r="B21" s="47">
        <v>0</v>
      </c>
      <c r="C21" s="38" t="s">
        <v>62</v>
      </c>
      <c r="D21" s="38" t="s">
        <v>53</v>
      </c>
      <c r="E21" s="39" t="s">
        <v>114</v>
      </c>
      <c r="F21" s="38">
        <v>4</v>
      </c>
      <c r="G21" s="40">
        <v>32.667610000000003</v>
      </c>
      <c r="H21" s="38" t="s">
        <v>24</v>
      </c>
      <c r="I21" s="38">
        <v>105</v>
      </c>
      <c r="J21" s="40">
        <v>57.783200000000001</v>
      </c>
      <c r="K21" s="38" t="s">
        <v>1</v>
      </c>
      <c r="L21" s="41">
        <v>3330</v>
      </c>
      <c r="M21" s="42">
        <f t="shared" si="11"/>
        <v>-4.5444601666666671</v>
      </c>
      <c r="N21" s="42">
        <f t="shared" si="12"/>
        <v>-105.96305333333333</v>
      </c>
      <c r="O21" s="52">
        <f t="shared" si="13"/>
        <v>1.6501121194289603</v>
      </c>
      <c r="P21" s="52">
        <f t="shared" si="14"/>
        <v>-1.8494041661330192</v>
      </c>
      <c r="Q21" s="53">
        <f t="shared" si="17"/>
        <v>1</v>
      </c>
      <c r="R21" s="53">
        <f t="shared" si="5"/>
        <v>1</v>
      </c>
      <c r="S21" s="11">
        <f>Assumptions!$D$4</f>
        <v>10</v>
      </c>
      <c r="T21" s="11">
        <f t="shared" si="15"/>
        <v>0.1</v>
      </c>
      <c r="U21" s="11">
        <f>Assumptions!$D$7</f>
        <v>0.25</v>
      </c>
      <c r="V21" s="45">
        <f>Assumptions!$D$7</f>
        <v>0.25</v>
      </c>
      <c r="W21" s="11">
        <f>IF(D21="SMOBS", L21/Assumptions!$D$14/60, IF(D21="ARRA", L21/Assumptions!$D$15/60, IF(D21="Abalone",L21/Assumptions!$D$16/60, IF(D21="SPOBS", L21/Assumptions!$D$17/60))))</f>
        <v>1.6818181818181819</v>
      </c>
      <c r="X21" s="45">
        <f>IF(B21=1, Assumptions!$D$10, 0)</f>
        <v>0</v>
      </c>
      <c r="Y21" s="57">
        <f t="shared" si="18"/>
        <v>2.1818181818181817</v>
      </c>
      <c r="Z21" s="55">
        <f t="shared" si="8"/>
        <v>44132.576084280307</v>
      </c>
      <c r="AA21" s="35">
        <f t="shared" si="9"/>
        <v>44132.580250946972</v>
      </c>
      <c r="AB21" s="11">
        <f t="shared" si="10"/>
        <v>267.92602272739168</v>
      </c>
      <c r="AC21" s="11">
        <f t="shared" si="16"/>
        <v>11.163584280307987</v>
      </c>
    </row>
    <row r="22" spans="1:29" s="47" customFormat="1" x14ac:dyDescent="0.2">
      <c r="A22" s="47">
        <v>19</v>
      </c>
      <c r="B22" s="47">
        <v>0</v>
      </c>
      <c r="C22" s="38" t="s">
        <v>63</v>
      </c>
      <c r="D22" s="38" t="s">
        <v>53</v>
      </c>
      <c r="E22" s="39" t="s">
        <v>115</v>
      </c>
      <c r="F22" s="38">
        <v>4</v>
      </c>
      <c r="G22" s="40">
        <v>32.908279999999998</v>
      </c>
      <c r="H22" s="38" t="s">
        <v>24</v>
      </c>
      <c r="I22" s="38">
        <v>105</v>
      </c>
      <c r="J22" s="40">
        <v>57.954120000000003</v>
      </c>
      <c r="K22" s="38" t="s">
        <v>1</v>
      </c>
      <c r="L22" s="41">
        <v>3390</v>
      </c>
      <c r="M22" s="42">
        <f t="shared" si="11"/>
        <v>-4.5484713333333335</v>
      </c>
      <c r="N22" s="42">
        <f t="shared" si="12"/>
        <v>-105.965902</v>
      </c>
      <c r="O22" s="52">
        <f t="shared" si="13"/>
        <v>1.6501821274941399</v>
      </c>
      <c r="P22" s="52">
        <f t="shared" si="14"/>
        <v>-1.8494538847456443</v>
      </c>
      <c r="Q22" s="53">
        <f t="shared" si="17"/>
        <v>0</v>
      </c>
      <c r="R22" s="53">
        <f t="shared" si="5"/>
        <v>0</v>
      </c>
      <c r="S22" s="11">
        <f>Assumptions!$D$4</f>
        <v>10</v>
      </c>
      <c r="T22" s="11">
        <f t="shared" si="15"/>
        <v>0</v>
      </c>
      <c r="U22" s="11">
        <f>Assumptions!$D$7</f>
        <v>0.25</v>
      </c>
      <c r="V22" s="45">
        <f>Assumptions!$D$7</f>
        <v>0.25</v>
      </c>
      <c r="W22" s="11">
        <f>IF(D22="SMOBS", L22/Assumptions!$D$14/60, IF(D22="ARRA", L22/Assumptions!$D$15/60, IF(D22="Abalone",L22/Assumptions!$D$16/60, IF(D22="SPOBS", L22/Assumptions!$D$17/60))))</f>
        <v>1.7121212121212122</v>
      </c>
      <c r="X22" s="45">
        <f>IF(B22=1, Assumptions!$D$10, 0)</f>
        <v>0</v>
      </c>
      <c r="Y22" s="57">
        <f t="shared" si="18"/>
        <v>2.2121212121212119</v>
      </c>
      <c r="Z22" s="55">
        <f t="shared" si="8"/>
        <v>44132.672422664145</v>
      </c>
      <c r="AA22" s="35">
        <f t="shared" si="9"/>
        <v>44132.672422664145</v>
      </c>
      <c r="AB22" s="11">
        <f t="shared" si="10"/>
        <v>270.13814393954817</v>
      </c>
      <c r="AC22" s="11">
        <f t="shared" si="16"/>
        <v>11.255755997481174</v>
      </c>
    </row>
    <row r="23" spans="1:29" s="47" customFormat="1" x14ac:dyDescent="0.2">
      <c r="A23" s="47">
        <v>20</v>
      </c>
      <c r="B23" s="47">
        <v>0</v>
      </c>
      <c r="C23" s="38" t="s">
        <v>64</v>
      </c>
      <c r="D23" s="38" t="s">
        <v>52</v>
      </c>
      <c r="E23" s="39" t="s">
        <v>116</v>
      </c>
      <c r="F23" s="38">
        <v>4</v>
      </c>
      <c r="G23" s="40">
        <v>32.967109999999998</v>
      </c>
      <c r="H23" s="38" t="s">
        <v>24</v>
      </c>
      <c r="I23" s="38">
        <v>105</v>
      </c>
      <c r="J23" s="40">
        <v>58.215649999999997</v>
      </c>
      <c r="K23" s="38" t="s">
        <v>1</v>
      </c>
      <c r="L23" s="41">
        <v>3384</v>
      </c>
      <c r="M23" s="42">
        <f t="shared" si="11"/>
        <v>-4.5494518333333334</v>
      </c>
      <c r="N23" s="42">
        <f t="shared" si="12"/>
        <v>-105.97026083333333</v>
      </c>
      <c r="O23" s="52">
        <f t="shared" si="13"/>
        <v>1.6501992404474557</v>
      </c>
      <c r="P23" s="52">
        <f t="shared" si="14"/>
        <v>-1.8495299607388564</v>
      </c>
      <c r="Q23" s="53">
        <f t="shared" si="17"/>
        <v>6</v>
      </c>
      <c r="R23" s="53">
        <f t="shared" si="5"/>
        <v>3</v>
      </c>
      <c r="S23" s="11">
        <f>Assumptions!$D$4</f>
        <v>10</v>
      </c>
      <c r="T23" s="11">
        <f t="shared" si="15"/>
        <v>0.3</v>
      </c>
      <c r="U23" s="11">
        <f>Assumptions!$D$6</f>
        <v>0.5</v>
      </c>
      <c r="V23" s="45">
        <f>Assumptions!$D$7</f>
        <v>0.25</v>
      </c>
      <c r="W23" s="11">
        <f>IF(D23="SMOBS", L23/Assumptions!$D$14/60, IF(D23="ARRA", L23/Assumptions!$D$15/60, IF(D23="Abalone",L23/Assumptions!$D$16/60, IF(D23="SPOBS", L23/Assumptions!$D$17/60))))</f>
        <v>1.175</v>
      </c>
      <c r="X23" s="45">
        <f>IF(B23=1, Assumptions!$D$10, 0)</f>
        <v>0</v>
      </c>
      <c r="Y23" s="57">
        <f t="shared" si="18"/>
        <v>1.925</v>
      </c>
      <c r="Z23" s="55">
        <f t="shared" si="8"/>
        <v>44132.752630997478</v>
      </c>
      <c r="AA23" s="35">
        <f t="shared" si="9"/>
        <v>44132.765130997475</v>
      </c>
      <c r="AB23" s="11">
        <f t="shared" si="10"/>
        <v>272.36314393946668</v>
      </c>
      <c r="AC23" s="11">
        <f t="shared" si="16"/>
        <v>11.348464330811112</v>
      </c>
    </row>
    <row r="24" spans="1:29" s="47" customFormat="1" x14ac:dyDescent="0.2">
      <c r="A24" s="47">
        <v>21</v>
      </c>
      <c r="B24" s="58">
        <v>1</v>
      </c>
      <c r="C24" s="38" t="s">
        <v>75</v>
      </c>
      <c r="D24" s="38" t="s">
        <v>53</v>
      </c>
      <c r="E24" s="39" t="s">
        <v>117</v>
      </c>
      <c r="F24" s="38">
        <v>4</v>
      </c>
      <c r="G24" s="40">
        <v>35.822890000000001</v>
      </c>
      <c r="H24" s="38" t="s">
        <v>24</v>
      </c>
      <c r="I24" s="38">
        <v>105</v>
      </c>
      <c r="J24" s="40">
        <v>56.253410000000002</v>
      </c>
      <c r="K24" s="38" t="s">
        <v>1</v>
      </c>
      <c r="L24" s="41">
        <v>3277</v>
      </c>
      <c r="M24" s="42">
        <f t="shared" si="11"/>
        <v>-4.5970481666666672</v>
      </c>
      <c r="N24" s="42">
        <f t="shared" si="12"/>
        <v>-105.93755683333333</v>
      </c>
      <c r="O24" s="52">
        <f t="shared" si="13"/>
        <v>1.6510299531759989</v>
      </c>
      <c r="P24" s="52">
        <f t="shared" si="14"/>
        <v>-1.8489591682602844</v>
      </c>
      <c r="Q24" s="53">
        <f t="shared" si="17"/>
        <v>1</v>
      </c>
      <c r="R24" s="53">
        <f t="shared" si="5"/>
        <v>1</v>
      </c>
      <c r="S24" s="11">
        <f>Assumptions!$D$4</f>
        <v>10</v>
      </c>
      <c r="T24" s="11">
        <f t="shared" si="15"/>
        <v>0.1</v>
      </c>
      <c r="U24" s="11">
        <f>Assumptions!$D$7</f>
        <v>0.25</v>
      </c>
      <c r="V24" s="45">
        <f>Assumptions!$D$7</f>
        <v>0.25</v>
      </c>
      <c r="W24" s="11">
        <f>IF(D24="SMOBS", L24/Assumptions!$D$14/60, IF(D24="ARRA", L24/Assumptions!$D$15/60, IF(D24="Abalone",L24/Assumptions!$D$16/60, IF(D24="SPOBS", L24/Assumptions!$D$17/60))))</f>
        <v>1.6550505050505049</v>
      </c>
      <c r="X24" s="45">
        <f>IF(B24=1, Assumptions!$D$10, 0)</f>
        <v>1</v>
      </c>
      <c r="Y24" s="57">
        <f t="shared" si="18"/>
        <v>3.1550505050505047</v>
      </c>
      <c r="Z24" s="55">
        <f t="shared" si="8"/>
        <v>44132.896591435187</v>
      </c>
      <c r="AA24" s="35">
        <f t="shared" si="9"/>
        <v>44132.900758101852</v>
      </c>
      <c r="AB24" s="11">
        <f t="shared" si="10"/>
        <v>275.61819444451248</v>
      </c>
      <c r="AC24" s="11">
        <f t="shared" si="16"/>
        <v>11.48409143518802</v>
      </c>
    </row>
    <row r="25" spans="1:29" s="47" customFormat="1" x14ac:dyDescent="0.2">
      <c r="A25" s="47">
        <v>22</v>
      </c>
      <c r="B25" s="58">
        <v>1</v>
      </c>
      <c r="C25" s="38" t="s">
        <v>76</v>
      </c>
      <c r="D25" s="38" t="s">
        <v>53</v>
      </c>
      <c r="E25" s="39" t="s">
        <v>118</v>
      </c>
      <c r="F25" s="38">
        <v>4</v>
      </c>
      <c r="G25" s="40">
        <v>36.076720000000002</v>
      </c>
      <c r="H25" s="38" t="s">
        <v>24</v>
      </c>
      <c r="I25" s="38">
        <v>105</v>
      </c>
      <c r="J25" s="40">
        <v>56.533720000000002</v>
      </c>
      <c r="K25" s="38" t="s">
        <v>1</v>
      </c>
      <c r="L25" s="41">
        <v>3322</v>
      </c>
      <c r="M25" s="42">
        <f t="shared" si="11"/>
        <v>-4.6012786666666665</v>
      </c>
      <c r="N25" s="42">
        <f t="shared" si="12"/>
        <v>-105.94222866666667</v>
      </c>
      <c r="O25" s="52">
        <f t="shared" si="13"/>
        <v>1.6511037893300047</v>
      </c>
      <c r="P25" s="52">
        <f t="shared" si="14"/>
        <v>-1.8490407071340556</v>
      </c>
      <c r="Q25" s="53">
        <f t="shared" si="17"/>
        <v>1</v>
      </c>
      <c r="R25" s="53">
        <f t="shared" si="5"/>
        <v>1</v>
      </c>
      <c r="S25" s="11">
        <f>Assumptions!$D$4</f>
        <v>10</v>
      </c>
      <c r="T25" s="11">
        <f t="shared" si="15"/>
        <v>0.1</v>
      </c>
      <c r="U25" s="11">
        <f>Assumptions!$D$7</f>
        <v>0.25</v>
      </c>
      <c r="V25" s="45">
        <f>Assumptions!$D$7</f>
        <v>0.25</v>
      </c>
      <c r="W25" s="11">
        <f>IF(D25="SMOBS", L25/Assumptions!$D$14/60, IF(D25="ARRA", L25/Assumptions!$D$15/60, IF(D25="Abalone",L25/Assumptions!$D$16/60, IF(D25="SPOBS", L25/Assumptions!$D$17/60))))</f>
        <v>1.6777777777777778</v>
      </c>
      <c r="X25" s="45">
        <f>IF(B25=1, Assumptions!$D$10, 0)</f>
        <v>1</v>
      </c>
      <c r="Y25" s="57">
        <f t="shared" si="18"/>
        <v>3.177777777777778</v>
      </c>
      <c r="Z25" s="55">
        <f t="shared" si="8"/>
        <v>44133.03316550926</v>
      </c>
      <c r="AA25" s="35">
        <f t="shared" si="9"/>
        <v>44133.037332175925</v>
      </c>
      <c r="AB25" s="11">
        <f t="shared" si="10"/>
        <v>278.89597222226439</v>
      </c>
      <c r="AC25" s="11">
        <f t="shared" si="16"/>
        <v>11.620665509261016</v>
      </c>
    </row>
    <row r="26" spans="1:29" s="47" customFormat="1" x14ac:dyDescent="0.2">
      <c r="A26" s="47">
        <v>23</v>
      </c>
      <c r="B26" s="58">
        <v>1</v>
      </c>
      <c r="C26" s="38" t="s">
        <v>77</v>
      </c>
      <c r="D26" s="38" t="s">
        <v>53</v>
      </c>
      <c r="E26" s="39" t="s">
        <v>119</v>
      </c>
      <c r="F26" s="38">
        <v>4</v>
      </c>
      <c r="G26" s="40">
        <v>36.346240000000002</v>
      </c>
      <c r="H26" s="38" t="s">
        <v>24</v>
      </c>
      <c r="I26" s="38">
        <v>105</v>
      </c>
      <c r="J26" s="40">
        <v>56.841729999999998</v>
      </c>
      <c r="K26" s="38" t="s">
        <v>1</v>
      </c>
      <c r="L26" s="41">
        <v>3250</v>
      </c>
      <c r="M26" s="42">
        <f t="shared" si="11"/>
        <v>-4.6057706666666665</v>
      </c>
      <c r="N26" s="42">
        <f t="shared" si="12"/>
        <v>-105.94736216666666</v>
      </c>
      <c r="O26" s="52">
        <f t="shared" si="13"/>
        <v>1.6511821895200043</v>
      </c>
      <c r="P26" s="52">
        <f t="shared" si="14"/>
        <v>-1.8491303036112066</v>
      </c>
      <c r="Q26" s="53">
        <f t="shared" si="17"/>
        <v>1</v>
      </c>
      <c r="R26" s="53">
        <f t="shared" si="5"/>
        <v>1</v>
      </c>
      <c r="S26" s="11">
        <f>Assumptions!$D$4</f>
        <v>10</v>
      </c>
      <c r="T26" s="11">
        <f t="shared" si="15"/>
        <v>0.1</v>
      </c>
      <c r="U26" s="11">
        <f>Assumptions!$D$7</f>
        <v>0.25</v>
      </c>
      <c r="V26" s="45">
        <f>Assumptions!$D$7</f>
        <v>0.25</v>
      </c>
      <c r="W26" s="11">
        <f>IF(D26="SMOBS", L26/Assumptions!$D$14/60, IF(D26="ARRA", L26/Assumptions!$D$15/60, IF(D26="Abalone",L26/Assumptions!$D$16/60, IF(D26="SPOBS", L26/Assumptions!$D$17/60))))</f>
        <v>1.6414141414141414</v>
      </c>
      <c r="X26" s="45">
        <f>IF(B26=1, Assumptions!$D$10, 0)</f>
        <v>1</v>
      </c>
      <c r="Y26" s="57">
        <f t="shared" si="18"/>
        <v>3.1414141414141414</v>
      </c>
      <c r="Z26" s="55">
        <f t="shared" si="8"/>
        <v>44133.168224431814</v>
      </c>
      <c r="AA26" s="35">
        <f t="shared" si="9"/>
        <v>44133.17239109848</v>
      </c>
      <c r="AB26" s="11">
        <f t="shared" si="10"/>
        <v>282.13738636358175</v>
      </c>
      <c r="AC26" s="11">
        <f t="shared" si="16"/>
        <v>11.755724431815906</v>
      </c>
    </row>
    <row r="27" spans="1:29" s="47" customFormat="1" x14ac:dyDescent="0.2">
      <c r="A27" s="47">
        <v>24</v>
      </c>
      <c r="B27" s="58">
        <v>1</v>
      </c>
      <c r="C27" s="38" t="s">
        <v>78</v>
      </c>
      <c r="D27" s="38" t="s">
        <v>54</v>
      </c>
      <c r="E27" s="39" t="s">
        <v>120</v>
      </c>
      <c r="F27" s="38">
        <v>4</v>
      </c>
      <c r="G27" s="40">
        <v>35.664430000000003</v>
      </c>
      <c r="H27" s="38" t="s">
        <v>24</v>
      </c>
      <c r="I27" s="38">
        <v>105</v>
      </c>
      <c r="J27" s="40">
        <v>56.633839999999999</v>
      </c>
      <c r="K27" s="38" t="s">
        <v>1</v>
      </c>
      <c r="L27" s="41">
        <v>3328</v>
      </c>
      <c r="M27" s="42">
        <f t="shared" si="11"/>
        <v>-4.5944071666666666</v>
      </c>
      <c r="N27" s="42">
        <f t="shared" si="12"/>
        <v>-105.94389733333334</v>
      </c>
      <c r="O27" s="52">
        <f t="shared" si="13"/>
        <v>1.6509838590304537</v>
      </c>
      <c r="P27" s="52">
        <f t="shared" si="14"/>
        <v>-1.8490698308615072</v>
      </c>
      <c r="Q27" s="53">
        <f t="shared" si="17"/>
        <v>1</v>
      </c>
      <c r="R27" s="53">
        <f t="shared" si="5"/>
        <v>1</v>
      </c>
      <c r="S27" s="11">
        <f>Assumptions!$D$4</f>
        <v>10</v>
      </c>
      <c r="T27" s="11">
        <f t="shared" si="15"/>
        <v>0.1</v>
      </c>
      <c r="U27" s="11">
        <f>Assumptions!$D$7</f>
        <v>0.25</v>
      </c>
      <c r="V27" s="45">
        <f>Assumptions!$D$7</f>
        <v>0.25</v>
      </c>
      <c r="W27" s="11">
        <f>IF(D27="SMOBS", L27/Assumptions!$D$14/60, IF(D27="ARRA", L27/Assumptions!$D$15/60, IF(D27="Abalone",L27/Assumptions!$D$16/60, IF(D27="SPOBS", L27/Assumptions!$D$17/60))))</f>
        <v>1.4596491228070176</v>
      </c>
      <c r="X27" s="45">
        <f>IF(B27=1, Assumptions!$D$10, 0)</f>
        <v>1</v>
      </c>
      <c r="Y27" s="57">
        <f t="shared" si="18"/>
        <v>2.9596491228070176</v>
      </c>
      <c r="Z27" s="55">
        <f t="shared" si="8"/>
        <v>44133.29570981193</v>
      </c>
      <c r="AA27" s="35">
        <f t="shared" si="9"/>
        <v>44133.299876478595</v>
      </c>
      <c r="AB27" s="11">
        <f t="shared" si="10"/>
        <v>285.19703548634425</v>
      </c>
      <c r="AC27" s="11">
        <f t="shared" si="16"/>
        <v>11.88320981193101</v>
      </c>
    </row>
    <row r="28" spans="1:29" s="47" customFormat="1" x14ac:dyDescent="0.2">
      <c r="A28" s="47">
        <v>25</v>
      </c>
      <c r="B28" s="58">
        <v>1</v>
      </c>
      <c r="C28" s="38" t="s">
        <v>79</v>
      </c>
      <c r="D28" s="38" t="s">
        <v>54</v>
      </c>
      <c r="E28" s="39" t="s">
        <v>121</v>
      </c>
      <c r="F28" s="38">
        <v>4</v>
      </c>
      <c r="G28" s="40">
        <v>35.740009999999998</v>
      </c>
      <c r="H28" s="38" t="s">
        <v>24</v>
      </c>
      <c r="I28" s="38">
        <v>105</v>
      </c>
      <c r="J28" s="40">
        <v>56.906849999999999</v>
      </c>
      <c r="K28" s="38" t="s">
        <v>1</v>
      </c>
      <c r="L28" s="41">
        <v>3370</v>
      </c>
      <c r="M28" s="42">
        <f t="shared" si="11"/>
        <v>-4.5956668333333335</v>
      </c>
      <c r="N28" s="42">
        <f t="shared" si="12"/>
        <v>-105.9484475</v>
      </c>
      <c r="O28" s="52">
        <f t="shared" si="13"/>
        <v>1.651005844361265</v>
      </c>
      <c r="P28" s="52">
        <f t="shared" si="14"/>
        <v>-1.849149246251355</v>
      </c>
      <c r="Q28" s="53">
        <f t="shared" si="17"/>
        <v>0</v>
      </c>
      <c r="R28" s="53">
        <f t="shared" si="5"/>
        <v>0</v>
      </c>
      <c r="S28" s="11">
        <f>Assumptions!$D$4</f>
        <v>10</v>
      </c>
      <c r="T28" s="11">
        <f t="shared" si="15"/>
        <v>0</v>
      </c>
      <c r="U28" s="11">
        <f>Assumptions!$D$7</f>
        <v>0.25</v>
      </c>
      <c r="V28" s="45">
        <f>Assumptions!$D$7</f>
        <v>0.25</v>
      </c>
      <c r="W28" s="11">
        <f>IF(D28="SMOBS", L28/Assumptions!$D$14/60, IF(D28="ARRA", L28/Assumptions!$D$15/60, IF(D28="Abalone",L28/Assumptions!$D$16/60, IF(D28="SPOBS", L28/Assumptions!$D$17/60))))</f>
        <v>1.4780701754385965</v>
      </c>
      <c r="X28" s="45">
        <f>IF(B28=1, Assumptions!$D$10, 0)</f>
        <v>1</v>
      </c>
      <c r="Y28" s="57">
        <f t="shared" si="18"/>
        <v>2.9780701754385968</v>
      </c>
      <c r="Z28" s="55">
        <f t="shared" si="8"/>
        <v>44133.423962735906</v>
      </c>
      <c r="AA28" s="35">
        <f t="shared" si="9"/>
        <v>44133.423962735906</v>
      </c>
      <c r="AB28" s="11">
        <f t="shared" si="10"/>
        <v>288.17510566179408</v>
      </c>
      <c r="AC28" s="11">
        <f t="shared" si="16"/>
        <v>12.00729606924142</v>
      </c>
    </row>
    <row r="29" spans="1:29" s="47" customFormat="1" x14ac:dyDescent="0.2">
      <c r="A29" s="47">
        <v>26</v>
      </c>
      <c r="B29" s="58">
        <v>1</v>
      </c>
      <c r="C29" s="38" t="s">
        <v>80</v>
      </c>
      <c r="D29" s="38" t="s">
        <v>54</v>
      </c>
      <c r="E29" s="39" t="s">
        <v>122</v>
      </c>
      <c r="F29" s="38">
        <v>4</v>
      </c>
      <c r="G29" s="40">
        <v>35.71264</v>
      </c>
      <c r="H29" s="38" t="s">
        <v>24</v>
      </c>
      <c r="I29" s="38">
        <v>105</v>
      </c>
      <c r="J29" s="40">
        <v>57.087649999999996</v>
      </c>
      <c r="K29" s="38" t="s">
        <v>1</v>
      </c>
      <c r="L29" s="41">
        <v>3354</v>
      </c>
      <c r="M29" s="42">
        <f t="shared" si="11"/>
        <v>-4.5952106666666666</v>
      </c>
      <c r="N29" s="42">
        <f t="shared" si="12"/>
        <v>-105.95146083333333</v>
      </c>
      <c r="O29" s="52">
        <f t="shared" si="13"/>
        <v>1.6509978827509937</v>
      </c>
      <c r="P29" s="52">
        <f t="shared" si="14"/>
        <v>-1.8492018388394815</v>
      </c>
      <c r="Q29" s="53">
        <f t="shared" si="17"/>
        <v>1</v>
      </c>
      <c r="R29" s="53">
        <f t="shared" si="5"/>
        <v>1</v>
      </c>
      <c r="S29" s="11">
        <f>Assumptions!$D$4</f>
        <v>10</v>
      </c>
      <c r="T29" s="11">
        <f t="shared" si="15"/>
        <v>0.1</v>
      </c>
      <c r="U29" s="11">
        <f>Assumptions!$D$7</f>
        <v>0.25</v>
      </c>
      <c r="V29" s="45">
        <f>Assumptions!$D$7</f>
        <v>0.25</v>
      </c>
      <c r="W29" s="11">
        <f>IF(D29="SMOBS", L29/Assumptions!$D$14/60, IF(D29="ARRA", L29/Assumptions!$D$15/60, IF(D29="Abalone",L29/Assumptions!$D$16/60, IF(D29="SPOBS", L29/Assumptions!$D$17/60))))</f>
        <v>1.4710526315789472</v>
      </c>
      <c r="X29" s="45">
        <f>IF(B29=1, Assumptions!$D$10, 0)</f>
        <v>1</v>
      </c>
      <c r="Y29" s="57">
        <f t="shared" si="18"/>
        <v>2.9710526315789472</v>
      </c>
      <c r="Z29" s="55">
        <f t="shared" si="8"/>
        <v>44133.547756595552</v>
      </c>
      <c r="AA29" s="35">
        <f t="shared" si="9"/>
        <v>44133.551923262217</v>
      </c>
      <c r="AB29" s="11">
        <f t="shared" si="10"/>
        <v>291.24615829327377</v>
      </c>
      <c r="AC29" s="11">
        <f t="shared" si="16"/>
        <v>12.135256595553074</v>
      </c>
    </row>
    <row r="30" spans="1:29" s="47" customFormat="1" x14ac:dyDescent="0.2">
      <c r="A30" s="47">
        <v>27</v>
      </c>
      <c r="B30" s="58">
        <v>1</v>
      </c>
      <c r="C30" s="38" t="s">
        <v>81</v>
      </c>
      <c r="D30" s="38" t="s">
        <v>54</v>
      </c>
      <c r="E30" s="39" t="s">
        <v>123</v>
      </c>
      <c r="F30" s="38">
        <v>4</v>
      </c>
      <c r="G30" s="40">
        <v>35.772959999999998</v>
      </c>
      <c r="H30" s="38" t="s">
        <v>24</v>
      </c>
      <c r="I30" s="38">
        <v>105</v>
      </c>
      <c r="J30" s="40">
        <v>57.351819999999996</v>
      </c>
      <c r="K30" s="38" t="s">
        <v>1</v>
      </c>
      <c r="L30" s="41">
        <v>3324</v>
      </c>
      <c r="M30" s="42">
        <f t="shared" si="11"/>
        <v>-4.5962160000000001</v>
      </c>
      <c r="N30" s="42">
        <f t="shared" si="12"/>
        <v>-105.95586366666667</v>
      </c>
      <c r="O30" s="52">
        <f t="shared" si="13"/>
        <v>1.6510154291277404</v>
      </c>
      <c r="P30" s="52">
        <f t="shared" si="14"/>
        <v>-1.8492786827775651</v>
      </c>
      <c r="Q30" s="53">
        <f t="shared" si="17"/>
        <v>0</v>
      </c>
      <c r="R30" s="53">
        <f t="shared" si="5"/>
        <v>0</v>
      </c>
      <c r="S30" s="11">
        <f>Assumptions!$D$4</f>
        <v>10</v>
      </c>
      <c r="T30" s="11">
        <f t="shared" si="15"/>
        <v>0</v>
      </c>
      <c r="U30" s="11">
        <f>Assumptions!$D$7</f>
        <v>0.25</v>
      </c>
      <c r="V30" s="45">
        <f>Assumptions!$D$7</f>
        <v>0.25</v>
      </c>
      <c r="W30" s="11">
        <f>IF(D30="SMOBS", L30/Assumptions!$D$14/60, IF(D30="ARRA", L30/Assumptions!$D$15/60, IF(D30="Abalone",L30/Assumptions!$D$16/60, IF(D30="SPOBS", L30/Assumptions!$D$17/60))))</f>
        <v>1.4578947368421054</v>
      </c>
      <c r="X30" s="45">
        <f>IF(B30=1, Assumptions!$D$10, 0)</f>
        <v>1</v>
      </c>
      <c r="Y30" s="57">
        <f t="shared" si="18"/>
        <v>2.9578947368421051</v>
      </c>
      <c r="Z30" s="55">
        <f t="shared" si="8"/>
        <v>44133.675168876252</v>
      </c>
      <c r="AA30" s="35">
        <f t="shared" si="9"/>
        <v>44133.675168876252</v>
      </c>
      <c r="AB30" s="11">
        <f t="shared" si="10"/>
        <v>294.20405303011648</v>
      </c>
      <c r="AC30" s="11">
        <f t="shared" si="16"/>
        <v>12.258502209588187</v>
      </c>
    </row>
    <row r="31" spans="1:29" s="47" customFormat="1" x14ac:dyDescent="0.2">
      <c r="A31" s="47">
        <v>28</v>
      </c>
      <c r="B31" s="58">
        <v>1</v>
      </c>
      <c r="C31" s="38" t="s">
        <v>82</v>
      </c>
      <c r="D31" s="38" t="s">
        <v>54</v>
      </c>
      <c r="E31" s="39" t="s">
        <v>124</v>
      </c>
      <c r="F31" s="38">
        <v>4</v>
      </c>
      <c r="G31" s="40">
        <v>35.671810000000001</v>
      </c>
      <c r="H31" s="38" t="s">
        <v>24</v>
      </c>
      <c r="I31" s="38">
        <v>105</v>
      </c>
      <c r="J31" s="40">
        <v>57.296819999999997</v>
      </c>
      <c r="K31" s="38" t="s">
        <v>1</v>
      </c>
      <c r="L31" s="41">
        <v>3345</v>
      </c>
      <c r="M31" s="42">
        <f t="shared" si="11"/>
        <v>-4.5945301666666669</v>
      </c>
      <c r="N31" s="42">
        <f t="shared" si="12"/>
        <v>-105.954947</v>
      </c>
      <c r="O31" s="52">
        <f t="shared" si="13"/>
        <v>1.6509860057854338</v>
      </c>
      <c r="P31" s="52">
        <f t="shared" si="14"/>
        <v>-1.8492626839260884</v>
      </c>
      <c r="Q31" s="53">
        <f t="shared" si="17"/>
        <v>1</v>
      </c>
      <c r="R31" s="53">
        <f t="shared" si="5"/>
        <v>1</v>
      </c>
      <c r="S31" s="11">
        <f>Assumptions!$D$4</f>
        <v>10</v>
      </c>
      <c r="T31" s="11">
        <f t="shared" si="15"/>
        <v>0.1</v>
      </c>
      <c r="U31" s="11">
        <f>Assumptions!$D$7</f>
        <v>0.25</v>
      </c>
      <c r="V31" s="45">
        <f>Assumptions!$D$7</f>
        <v>0.25</v>
      </c>
      <c r="W31" s="11">
        <f>IF(D31="SMOBS", L31/Assumptions!$D$14/60, IF(D31="ARRA", L31/Assumptions!$D$15/60, IF(D31="Abalone",L31/Assumptions!$D$16/60, IF(D31="SPOBS", L31/Assumptions!$D$17/60))))</f>
        <v>1.4671052631578947</v>
      </c>
      <c r="X31" s="45">
        <f>IF(B31=1, Assumptions!$D$10, 0)</f>
        <v>1</v>
      </c>
      <c r="Y31" s="57">
        <f t="shared" si="18"/>
        <v>2.9671052631578947</v>
      </c>
      <c r="Z31" s="55">
        <f t="shared" si="8"/>
        <v>44133.798798262214</v>
      </c>
      <c r="AA31" s="35">
        <f t="shared" si="9"/>
        <v>44133.80296492888</v>
      </c>
      <c r="AB31" s="11">
        <f t="shared" si="10"/>
        <v>297.27115829318063</v>
      </c>
      <c r="AC31" s="11">
        <f t="shared" si="16"/>
        <v>12.38629826221586</v>
      </c>
    </row>
    <row r="32" spans="1:29" s="47" customFormat="1" x14ac:dyDescent="0.2">
      <c r="A32" s="47">
        <v>29</v>
      </c>
      <c r="B32" s="58">
        <v>1</v>
      </c>
      <c r="C32" s="38" t="s">
        <v>83</v>
      </c>
      <c r="D32" s="38" t="s">
        <v>54</v>
      </c>
      <c r="E32" s="39" t="s">
        <v>125</v>
      </c>
      <c r="F32" s="38">
        <v>4</v>
      </c>
      <c r="G32" s="40">
        <v>35.446480000000001</v>
      </c>
      <c r="H32" s="38" t="s">
        <v>24</v>
      </c>
      <c r="I32" s="38">
        <v>105</v>
      </c>
      <c r="J32" s="40">
        <v>57.07931</v>
      </c>
      <c r="K32" s="38" t="s">
        <v>1</v>
      </c>
      <c r="L32" s="41">
        <v>3305</v>
      </c>
      <c r="M32" s="42">
        <f t="shared" si="11"/>
        <v>-4.5907746666666664</v>
      </c>
      <c r="N32" s="42">
        <f t="shared" si="12"/>
        <v>-105.95132183333334</v>
      </c>
      <c r="O32" s="52">
        <f t="shared" si="13"/>
        <v>1.6509204599453751</v>
      </c>
      <c r="P32" s="52">
        <f t="shared" si="14"/>
        <v>-1.8491994128318214</v>
      </c>
      <c r="Q32" s="53">
        <f t="shared" si="17"/>
        <v>1</v>
      </c>
      <c r="R32" s="53">
        <f t="shared" si="5"/>
        <v>1</v>
      </c>
      <c r="S32" s="11">
        <f>Assumptions!$D$4</f>
        <v>10</v>
      </c>
      <c r="T32" s="11">
        <f t="shared" si="15"/>
        <v>0.1</v>
      </c>
      <c r="U32" s="11">
        <f>Assumptions!$D$7</f>
        <v>0.25</v>
      </c>
      <c r="V32" s="45">
        <f>Assumptions!$D$7</f>
        <v>0.25</v>
      </c>
      <c r="W32" s="11">
        <f>IF(D32="SMOBS", L32/Assumptions!$D$14/60, IF(D32="ARRA", L32/Assumptions!$D$15/60, IF(D32="Abalone",L32/Assumptions!$D$16/60, IF(D32="SPOBS", L32/Assumptions!$D$17/60))))</f>
        <v>1.4495614035087718</v>
      </c>
      <c r="X32" s="45">
        <f>IF(B32=1, Assumptions!$D$10, 0)</f>
        <v>1</v>
      </c>
      <c r="Y32" s="57">
        <f t="shared" si="18"/>
        <v>2.9495614035087718</v>
      </c>
      <c r="Z32" s="55">
        <f t="shared" si="8"/>
        <v>44133.925863320692</v>
      </c>
      <c r="AA32" s="35">
        <f t="shared" si="9"/>
        <v>44133.930029987358</v>
      </c>
      <c r="AB32" s="11">
        <f t="shared" si="10"/>
        <v>300.32071969663957</v>
      </c>
      <c r="AC32" s="11">
        <f t="shared" si="16"/>
        <v>12.513363320693315</v>
      </c>
    </row>
    <row r="33" spans="1:29" s="47" customFormat="1" x14ac:dyDescent="0.2">
      <c r="A33" s="47">
        <v>30</v>
      </c>
      <c r="B33" s="58">
        <v>1</v>
      </c>
      <c r="C33" s="38" t="s">
        <v>84</v>
      </c>
      <c r="D33" s="38" t="s">
        <v>54</v>
      </c>
      <c r="E33" s="39" t="s">
        <v>126</v>
      </c>
      <c r="F33" s="38">
        <v>4</v>
      </c>
      <c r="G33" s="40">
        <v>35.451590000000003</v>
      </c>
      <c r="H33" s="38" t="s">
        <v>24</v>
      </c>
      <c r="I33" s="38">
        <v>105</v>
      </c>
      <c r="J33" s="40">
        <v>56.800890000000003</v>
      </c>
      <c r="K33" s="38" t="s">
        <v>1</v>
      </c>
      <c r="L33" s="41">
        <v>3295</v>
      </c>
      <c r="M33" s="42">
        <f t="shared" si="11"/>
        <v>-4.590859833333333</v>
      </c>
      <c r="N33" s="42">
        <f t="shared" si="12"/>
        <v>-105.9466815</v>
      </c>
      <c r="O33" s="52">
        <f t="shared" si="13"/>
        <v>1.6509219463841212</v>
      </c>
      <c r="P33" s="52">
        <f t="shared" si="14"/>
        <v>-1.8491184237367646</v>
      </c>
      <c r="Q33" s="53">
        <f t="shared" si="17"/>
        <v>6</v>
      </c>
      <c r="R33" s="53">
        <f t="shared" si="5"/>
        <v>3</v>
      </c>
      <c r="S33" s="11">
        <f>Assumptions!$D$4</f>
        <v>10</v>
      </c>
      <c r="T33" s="11">
        <f t="shared" si="15"/>
        <v>0.3</v>
      </c>
      <c r="U33" s="11">
        <f>Assumptions!$D$6</f>
        <v>0.5</v>
      </c>
      <c r="V33" s="45">
        <f>Assumptions!$D$7</f>
        <v>0.25</v>
      </c>
      <c r="W33" s="11">
        <f>IF(D33="SMOBS", L33/Assumptions!$D$14/60, IF(D33="ARRA", L33/Assumptions!$D$15/60, IF(D33="Abalone",L33/Assumptions!$D$16/60, IF(D33="SPOBS", L33/Assumptions!$D$17/60))))</f>
        <v>1.4451754385964912</v>
      </c>
      <c r="X33" s="45">
        <f>IF(B33=1, Assumptions!$D$10, 0)</f>
        <v>1</v>
      </c>
      <c r="Y33" s="57">
        <f t="shared" si="18"/>
        <v>3.1951754385964914</v>
      </c>
      <c r="Z33" s="55">
        <f t="shared" si="8"/>
        <v>44134.063162297301</v>
      </c>
      <c r="AA33" s="35">
        <f t="shared" si="9"/>
        <v>44134.075662297299</v>
      </c>
      <c r="AB33" s="11">
        <f t="shared" si="10"/>
        <v>303.8158951352234</v>
      </c>
      <c r="AC33" s="11">
        <f t="shared" si="16"/>
        <v>12.658995630634308</v>
      </c>
    </row>
    <row r="34" spans="1:29" s="47" customFormat="1" x14ac:dyDescent="0.2">
      <c r="A34" s="47">
        <v>31</v>
      </c>
      <c r="B34" s="47">
        <v>0</v>
      </c>
      <c r="C34" s="38" t="s">
        <v>65</v>
      </c>
      <c r="D34" s="38" t="s">
        <v>53</v>
      </c>
      <c r="E34" s="39" t="s">
        <v>127</v>
      </c>
      <c r="F34" s="38">
        <v>4</v>
      </c>
      <c r="G34" s="40">
        <v>35.129069999999999</v>
      </c>
      <c r="H34" s="38" t="s">
        <v>24</v>
      </c>
      <c r="I34" s="38">
        <v>105</v>
      </c>
      <c r="J34" s="40">
        <v>53.463340000000002</v>
      </c>
      <c r="K34" s="38" t="s">
        <v>1</v>
      </c>
      <c r="L34" s="41">
        <v>3394</v>
      </c>
      <c r="M34" s="42">
        <f t="shared" si="11"/>
        <v>-4.5854844999999997</v>
      </c>
      <c r="N34" s="42">
        <f t="shared" si="12"/>
        <v>-105.89105566666667</v>
      </c>
      <c r="O34" s="52">
        <f t="shared" si="13"/>
        <v>1.6508281291190627</v>
      </c>
      <c r="P34" s="52">
        <f t="shared" si="14"/>
        <v>-1.8481475697959326</v>
      </c>
      <c r="Q34" s="53">
        <f t="shared" si="17"/>
        <v>1</v>
      </c>
      <c r="R34" s="53">
        <f t="shared" si="5"/>
        <v>1</v>
      </c>
      <c r="S34" s="11">
        <f>Assumptions!$D$4</f>
        <v>10</v>
      </c>
      <c r="T34" s="11">
        <f t="shared" si="15"/>
        <v>0.1</v>
      </c>
      <c r="U34" s="11">
        <f>Assumptions!$D$7</f>
        <v>0.25</v>
      </c>
      <c r="V34" s="45">
        <f>Assumptions!$D$7</f>
        <v>0.25</v>
      </c>
      <c r="W34" s="11">
        <f>IF(D34="SMOBS", L34/Assumptions!$D$14/60, IF(D34="ARRA", L34/Assumptions!$D$15/60, IF(D34="Abalone",L34/Assumptions!$D$16/60, IF(D34="SPOBS", L34/Assumptions!$D$17/60))))</f>
        <v>1.714141414141414</v>
      </c>
      <c r="X34" s="45">
        <f>IF(B34=1, Assumptions!$D$10, 0)</f>
        <v>0</v>
      </c>
      <c r="Y34" s="57">
        <f t="shared" si="18"/>
        <v>2.2141414141414142</v>
      </c>
      <c r="Z34" s="55">
        <f t="shared" si="8"/>
        <v>44134.167918189552</v>
      </c>
      <c r="AA34" s="35">
        <f t="shared" si="9"/>
        <v>44134.172084856218</v>
      </c>
      <c r="AB34" s="11">
        <f t="shared" si="10"/>
        <v>306.13003654929344</v>
      </c>
      <c r="AC34" s="11">
        <f t="shared" si="16"/>
        <v>12.755418189553893</v>
      </c>
    </row>
    <row r="35" spans="1:29" s="47" customFormat="1" x14ac:dyDescent="0.2">
      <c r="A35" s="47">
        <v>32</v>
      </c>
      <c r="B35" s="47">
        <v>0</v>
      </c>
      <c r="C35" s="38" t="s">
        <v>66</v>
      </c>
      <c r="D35" s="38" t="s">
        <v>53</v>
      </c>
      <c r="E35" s="39" t="s">
        <v>128</v>
      </c>
      <c r="F35" s="38">
        <v>4</v>
      </c>
      <c r="G35" s="40">
        <v>35.483170000000001</v>
      </c>
      <c r="H35" s="38" t="s">
        <v>24</v>
      </c>
      <c r="I35" s="38">
        <v>105</v>
      </c>
      <c r="J35" s="40">
        <v>53.546610000000001</v>
      </c>
      <c r="K35" s="38" t="s">
        <v>1</v>
      </c>
      <c r="L35" s="41">
        <v>3363</v>
      </c>
      <c r="M35" s="42">
        <f t="shared" si="11"/>
        <v>-4.5913861666666662</v>
      </c>
      <c r="N35" s="42">
        <f t="shared" si="12"/>
        <v>-105.8924435</v>
      </c>
      <c r="O35" s="52">
        <f t="shared" si="13"/>
        <v>1.650931132633751</v>
      </c>
      <c r="P35" s="52">
        <f t="shared" si="14"/>
        <v>-1.8481717920570679</v>
      </c>
      <c r="Q35" s="53">
        <f t="shared" si="17"/>
        <v>1</v>
      </c>
      <c r="R35" s="53">
        <f t="shared" si="5"/>
        <v>1</v>
      </c>
      <c r="S35" s="11">
        <f>Assumptions!$D$4</f>
        <v>10</v>
      </c>
      <c r="T35" s="11">
        <f t="shared" si="15"/>
        <v>0.1</v>
      </c>
      <c r="U35" s="11">
        <f>Assumptions!$D$7</f>
        <v>0.25</v>
      </c>
      <c r="V35" s="45">
        <f>Assumptions!$D$7</f>
        <v>0.25</v>
      </c>
      <c r="W35" s="11">
        <f>IF(D35="SMOBS", L35/Assumptions!$D$14/60, IF(D35="ARRA", L35/Assumptions!$D$15/60, IF(D35="Abalone",L35/Assumptions!$D$16/60, IF(D35="SPOBS", L35/Assumptions!$D$17/60))))</f>
        <v>1.6984848484848485</v>
      </c>
      <c r="X35" s="45">
        <f>IF(B35=1, Assumptions!$D$10, 0)</f>
        <v>0</v>
      </c>
      <c r="Y35" s="57">
        <f t="shared" si="18"/>
        <v>2.1984848484848483</v>
      </c>
      <c r="Z35" s="55">
        <f t="shared" ref="Z35:Z53" si="19">AA34+Y35/24</f>
        <v>44134.263688391569</v>
      </c>
      <c r="AA35" s="35">
        <f t="shared" ref="AA35:AA53" si="20">Z35  + T35/24</f>
        <v>44134.267855058235</v>
      </c>
      <c r="AB35" s="11">
        <f t="shared" ref="AB35:AB53" si="21">(AA35-Z35)*24 + (Z35-AA34)*24 + AB34</f>
        <v>308.4285213976982</v>
      </c>
      <c r="AC35" s="11">
        <f t="shared" si="16"/>
        <v>12.851188391570759</v>
      </c>
    </row>
    <row r="36" spans="1:29" s="47" customFormat="1" x14ac:dyDescent="0.2">
      <c r="A36" s="47">
        <v>33</v>
      </c>
      <c r="B36" s="47">
        <v>0</v>
      </c>
      <c r="C36" s="38" t="s">
        <v>67</v>
      </c>
      <c r="D36" s="38" t="s">
        <v>53</v>
      </c>
      <c r="E36" s="39" t="s">
        <v>124</v>
      </c>
      <c r="F36" s="38">
        <v>4</v>
      </c>
      <c r="G36" s="40">
        <v>35.864739999999998</v>
      </c>
      <c r="H36" s="38" t="s">
        <v>24</v>
      </c>
      <c r="I36" s="38">
        <v>105</v>
      </c>
      <c r="J36" s="40">
        <v>53.665120000000002</v>
      </c>
      <c r="K36" s="38" t="s">
        <v>1</v>
      </c>
      <c r="L36" s="41">
        <v>3151</v>
      </c>
      <c r="M36" s="42">
        <f t="shared" ref="M36:M54" si="22">IF(H36="N",F36+G36/60,-(F36+G36/60))</f>
        <v>-4.5977456666666665</v>
      </c>
      <c r="N36" s="42">
        <f t="shared" ref="N36:N54" si="23">IF(K36="E",I36+J36/60,-(I36+J36/60))</f>
        <v>-105.89441866666667</v>
      </c>
      <c r="O36" s="52">
        <f t="shared" ref="O36:O54" si="24">RADIANS(90 - M36)</f>
        <v>1.6510421268475317</v>
      </c>
      <c r="P36" s="52">
        <f t="shared" ref="P36:P54" si="25">RADIANS(N36)</f>
        <v>-1.848206265218677</v>
      </c>
      <c r="Q36" s="53">
        <f t="shared" si="17"/>
        <v>1</v>
      </c>
      <c r="R36" s="53">
        <f t="shared" si="5"/>
        <v>1</v>
      </c>
      <c r="S36" s="11">
        <f>Assumptions!$D$4</f>
        <v>10</v>
      </c>
      <c r="T36" s="11">
        <f t="shared" ref="T36:T54" si="26">ROUND(R36/S36,1)</f>
        <v>0.1</v>
      </c>
      <c r="U36" s="11">
        <f>Assumptions!$D$7</f>
        <v>0.25</v>
      </c>
      <c r="V36" s="45">
        <f>Assumptions!$D$7</f>
        <v>0.25</v>
      </c>
      <c r="W36" s="11">
        <f>IF(D36="SMOBS", L36/Assumptions!$D$14/60, IF(D36="ARRA", L36/Assumptions!$D$15/60, IF(D36="Abalone",L36/Assumptions!$D$16/60, IF(D36="SPOBS", L36/Assumptions!$D$17/60))))</f>
        <v>1.5914141414141414</v>
      </c>
      <c r="X36" s="45">
        <f>IF(B36=1, Assumptions!$D$10, 0)</f>
        <v>0</v>
      </c>
      <c r="Y36" s="57">
        <f t="shared" si="18"/>
        <v>2.0914141414141412</v>
      </c>
      <c r="Z36" s="55">
        <f t="shared" si="19"/>
        <v>44134.354997314127</v>
      </c>
      <c r="AA36" s="35">
        <f t="shared" si="20"/>
        <v>44134.359163980793</v>
      </c>
      <c r="AB36" s="11">
        <f t="shared" si="21"/>
        <v>310.61993553908542</v>
      </c>
      <c r="AC36" s="11">
        <f t="shared" ref="AC36:AC53" si="27">AB36/24</f>
        <v>12.942497314128559</v>
      </c>
    </row>
    <row r="37" spans="1:29" s="47" customFormat="1" x14ac:dyDescent="0.2">
      <c r="A37" s="47">
        <v>34</v>
      </c>
      <c r="B37" s="47">
        <v>0</v>
      </c>
      <c r="C37" s="38" t="s">
        <v>68</v>
      </c>
      <c r="D37" s="38" t="s">
        <v>53</v>
      </c>
      <c r="E37" s="39" t="s">
        <v>129</v>
      </c>
      <c r="F37" s="38">
        <v>4</v>
      </c>
      <c r="G37" s="40">
        <v>35.172939999999997</v>
      </c>
      <c r="H37" s="38" t="s">
        <v>24</v>
      </c>
      <c r="I37" s="38">
        <v>105</v>
      </c>
      <c r="J37" s="40">
        <v>53.83708</v>
      </c>
      <c r="K37" s="38" t="s">
        <v>1</v>
      </c>
      <c r="L37" s="41">
        <v>3419</v>
      </c>
      <c r="M37" s="42">
        <f t="shared" si="22"/>
        <v>-4.5862156666666669</v>
      </c>
      <c r="N37" s="42">
        <f t="shared" si="23"/>
        <v>-105.89728466666666</v>
      </c>
      <c r="O37" s="52">
        <f t="shared" si="24"/>
        <v>1.6508408903847767</v>
      </c>
      <c r="P37" s="52">
        <f t="shared" si="25"/>
        <v>-1.8482562863550391</v>
      </c>
      <c r="Q37" s="53">
        <f t="shared" si="17"/>
        <v>1</v>
      </c>
      <c r="R37" s="53">
        <f t="shared" si="5"/>
        <v>1</v>
      </c>
      <c r="S37" s="11">
        <f>Assumptions!$D$4</f>
        <v>10</v>
      </c>
      <c r="T37" s="11">
        <f t="shared" si="26"/>
        <v>0.1</v>
      </c>
      <c r="U37" s="11">
        <f>Assumptions!$D$7</f>
        <v>0.25</v>
      </c>
      <c r="V37" s="45">
        <f>Assumptions!$D$7</f>
        <v>0.25</v>
      </c>
      <c r="W37" s="11">
        <f>IF(D37="SMOBS", L37/Assumptions!$D$14/60, IF(D37="ARRA", L37/Assumptions!$D$15/60, IF(D37="Abalone",L37/Assumptions!$D$16/60, IF(D37="SPOBS", L37/Assumptions!$D$17/60))))</f>
        <v>1.7267676767676767</v>
      </c>
      <c r="X37" s="45">
        <f>IF(B37=1, Assumptions!$D$10, 0)</f>
        <v>0</v>
      </c>
      <c r="Y37" s="57">
        <f t="shared" si="18"/>
        <v>2.2267676767676767</v>
      </c>
      <c r="Z37" s="55">
        <f t="shared" si="19"/>
        <v>44134.451945967325</v>
      </c>
      <c r="AA37" s="35">
        <f t="shared" si="20"/>
        <v>44134.45611263399</v>
      </c>
      <c r="AB37" s="11">
        <f t="shared" si="21"/>
        <v>312.94670321582817</v>
      </c>
      <c r="AC37" s="11">
        <f t="shared" si="27"/>
        <v>13.039445967326174</v>
      </c>
    </row>
    <row r="38" spans="1:29" s="47" customFormat="1" x14ac:dyDescent="0.2">
      <c r="A38" s="47">
        <v>35</v>
      </c>
      <c r="B38" s="47">
        <v>0</v>
      </c>
      <c r="C38" s="38" t="s">
        <v>69</v>
      </c>
      <c r="D38" s="38" t="s">
        <v>53</v>
      </c>
      <c r="E38" s="39" t="s">
        <v>130</v>
      </c>
      <c r="F38" s="38">
        <v>4</v>
      </c>
      <c r="G38" s="40">
        <v>35.382730000000002</v>
      </c>
      <c r="H38" s="38" t="s">
        <v>24</v>
      </c>
      <c r="I38" s="38">
        <v>105</v>
      </c>
      <c r="J38" s="40">
        <v>54.049340000000001</v>
      </c>
      <c r="K38" s="38" t="s">
        <v>1</v>
      </c>
      <c r="L38" s="43">
        <v>3431</v>
      </c>
      <c r="M38" s="42">
        <f t="shared" si="22"/>
        <v>-4.5897121666666667</v>
      </c>
      <c r="N38" s="42">
        <f t="shared" si="23"/>
        <v>-105.90082233333334</v>
      </c>
      <c r="O38" s="52">
        <f t="shared" si="24"/>
        <v>1.6509019158220728</v>
      </c>
      <c r="P38" s="52">
        <f t="shared" si="25"/>
        <v>-1.8483180302862106</v>
      </c>
      <c r="Q38" s="53">
        <f t="shared" si="17"/>
        <v>0</v>
      </c>
      <c r="R38" s="53">
        <f t="shared" si="5"/>
        <v>0</v>
      </c>
      <c r="S38" s="11">
        <f>Assumptions!$D$4</f>
        <v>10</v>
      </c>
      <c r="T38" s="11">
        <f t="shared" si="26"/>
        <v>0</v>
      </c>
      <c r="U38" s="11">
        <f>Assumptions!$D$7</f>
        <v>0.25</v>
      </c>
      <c r="V38" s="45">
        <f>Assumptions!$D$7</f>
        <v>0.25</v>
      </c>
      <c r="W38" s="11">
        <f>IF(D38="SMOBS", L38/Assumptions!$D$14/60, IF(D38="ARRA", L38/Assumptions!$D$15/60, IF(D38="Abalone",L38/Assumptions!$D$16/60, IF(D38="SPOBS", L38/Assumptions!$D$17/60))))</f>
        <v>1.7328282828282828</v>
      </c>
      <c r="X38" s="45">
        <f>IF(B38=1, Assumptions!$D$10, 0)</f>
        <v>0</v>
      </c>
      <c r="Y38" s="57">
        <f t="shared" si="18"/>
        <v>2.2328282828282831</v>
      </c>
      <c r="Z38" s="55">
        <f t="shared" si="19"/>
        <v>44134.549147145772</v>
      </c>
      <c r="AA38" s="35">
        <f t="shared" si="20"/>
        <v>44134.549147145772</v>
      </c>
      <c r="AB38" s="11">
        <f t="shared" si="21"/>
        <v>315.17953149857931</v>
      </c>
      <c r="AC38" s="11">
        <f t="shared" si="27"/>
        <v>13.132480479107471</v>
      </c>
    </row>
    <row r="39" spans="1:29" s="47" customFormat="1" x14ac:dyDescent="0.2">
      <c r="A39" s="47">
        <v>36</v>
      </c>
      <c r="B39" s="47">
        <v>0</v>
      </c>
      <c r="C39" s="38" t="s">
        <v>70</v>
      </c>
      <c r="D39" s="38" t="s">
        <v>53</v>
      </c>
      <c r="E39" s="39" t="s">
        <v>131</v>
      </c>
      <c r="F39" s="38">
        <v>4</v>
      </c>
      <c r="G39" s="40">
        <v>35.45973</v>
      </c>
      <c r="H39" s="38" t="s">
        <v>24</v>
      </c>
      <c r="I39" s="38">
        <v>105</v>
      </c>
      <c r="J39" s="40">
        <v>54.223889999999997</v>
      </c>
      <c r="K39" s="38" t="s">
        <v>1</v>
      </c>
      <c r="L39" s="56">
        <v>3313</v>
      </c>
      <c r="M39" s="42">
        <f t="shared" si="22"/>
        <v>-4.5909955</v>
      </c>
      <c r="N39" s="42">
        <f t="shared" si="23"/>
        <v>-105.90373150000001</v>
      </c>
      <c r="O39" s="52">
        <f t="shared" si="24"/>
        <v>1.6509243142141401</v>
      </c>
      <c r="P39" s="52">
        <f t="shared" si="25"/>
        <v>-1.8483688048230333</v>
      </c>
      <c r="Q39" s="53">
        <f t="shared" si="17"/>
        <v>1</v>
      </c>
      <c r="R39" s="53">
        <f t="shared" si="5"/>
        <v>1</v>
      </c>
      <c r="S39" s="11">
        <f>Assumptions!$D$4</f>
        <v>10</v>
      </c>
      <c r="T39" s="11">
        <f t="shared" si="26"/>
        <v>0.1</v>
      </c>
      <c r="U39" s="11">
        <f>Assumptions!$D$7</f>
        <v>0.25</v>
      </c>
      <c r="V39" s="45">
        <f>Assumptions!$D$7</f>
        <v>0.25</v>
      </c>
      <c r="W39" s="11">
        <f>IF(D39="SMOBS", L39/Assumptions!$D$14/60, IF(D39="ARRA", L39/Assumptions!$D$15/60, IF(D39="Abalone",L39/Assumptions!$D$16/60, IF(D39="SPOBS", L39/Assumptions!$D$17/60))))</f>
        <v>1.6732323232323232</v>
      </c>
      <c r="X39" s="45">
        <f>IF(B39=1, Assumptions!$D$10, 0)</f>
        <v>0</v>
      </c>
      <c r="Y39" s="57">
        <f t="shared" si="18"/>
        <v>2.1732323232323232</v>
      </c>
      <c r="Z39" s="55">
        <f t="shared" si="19"/>
        <v>44134.639698492574</v>
      </c>
      <c r="AA39" s="35">
        <f t="shared" si="20"/>
        <v>44134.64386515924</v>
      </c>
      <c r="AB39" s="11">
        <f t="shared" si="21"/>
        <v>317.45276382181328</v>
      </c>
      <c r="AC39" s="11">
        <f t="shared" si="27"/>
        <v>13.227198492575553</v>
      </c>
    </row>
    <row r="40" spans="1:29" s="47" customFormat="1" x14ac:dyDescent="0.2">
      <c r="A40" s="47">
        <v>37</v>
      </c>
      <c r="B40" s="47">
        <v>0</v>
      </c>
      <c r="C40" s="38" t="s">
        <v>74</v>
      </c>
      <c r="D40" s="38" t="s">
        <v>52</v>
      </c>
      <c r="E40" s="39" t="s">
        <v>135</v>
      </c>
      <c r="F40" s="38">
        <v>4</v>
      </c>
      <c r="G40" s="40">
        <v>35.0991</v>
      </c>
      <c r="H40" s="38" t="s">
        <v>24</v>
      </c>
      <c r="I40" s="38">
        <v>105</v>
      </c>
      <c r="J40" s="40">
        <v>54.101100000000002</v>
      </c>
      <c r="K40" s="38" t="s">
        <v>1</v>
      </c>
      <c r="L40" s="41">
        <v>3068.7</v>
      </c>
      <c r="M40" s="42">
        <f t="shared" si="22"/>
        <v>-4.5849849999999996</v>
      </c>
      <c r="N40" s="42">
        <f t="shared" si="23"/>
        <v>-105.901685</v>
      </c>
      <c r="O40" s="52">
        <f t="shared" si="24"/>
        <v>1.6508194111994487</v>
      </c>
      <c r="P40" s="52">
        <f t="shared" si="25"/>
        <v>-1.848333086659891</v>
      </c>
      <c r="Q40" s="53">
        <f t="shared" si="17"/>
        <v>1</v>
      </c>
      <c r="R40" s="53">
        <f t="shared" si="5"/>
        <v>1</v>
      </c>
      <c r="S40" s="11">
        <f>Assumptions!$D$4</f>
        <v>10</v>
      </c>
      <c r="T40" s="11">
        <f t="shared" si="26"/>
        <v>0.1</v>
      </c>
      <c r="U40" s="11">
        <f>Assumptions!$D$7</f>
        <v>0.25</v>
      </c>
      <c r="V40" s="45">
        <f>Assumptions!$D$7</f>
        <v>0.25</v>
      </c>
      <c r="W40" s="11">
        <f>IF(D40="SMOBS", L40/Assumptions!$D$14/60, IF(D40="ARRA", L40/Assumptions!$D$15/60, IF(D40="Abalone",L40/Assumptions!$D$16/60, IF(D40="SPOBS", L40/Assumptions!$D$17/60))))</f>
        <v>1.0655208333333333</v>
      </c>
      <c r="X40" s="45">
        <f>IF(B40=1, Assumptions!$D$10, 0)</f>
        <v>0</v>
      </c>
      <c r="Y40" s="57">
        <f t="shared" si="18"/>
        <v>1.5655208333333333</v>
      </c>
      <c r="Z40" s="55">
        <f t="shared" si="19"/>
        <v>44134.709095193961</v>
      </c>
      <c r="AA40" s="35">
        <f t="shared" si="20"/>
        <v>44134.713261860627</v>
      </c>
      <c r="AB40" s="11">
        <f t="shared" si="21"/>
        <v>319.11828465509461</v>
      </c>
      <c r="AC40" s="11">
        <f t="shared" si="27"/>
        <v>13.296595193962276</v>
      </c>
    </row>
    <row r="41" spans="1:29" s="47" customFormat="1" x14ac:dyDescent="0.2">
      <c r="A41" s="47">
        <v>38</v>
      </c>
      <c r="B41" s="47">
        <v>0</v>
      </c>
      <c r="C41" s="38" t="s">
        <v>71</v>
      </c>
      <c r="D41" s="38" t="s">
        <v>53</v>
      </c>
      <c r="E41" s="39" t="s">
        <v>132</v>
      </c>
      <c r="F41" s="38">
        <v>4</v>
      </c>
      <c r="G41" s="40">
        <v>35.623390000000001</v>
      </c>
      <c r="H41" s="38" t="s">
        <v>24</v>
      </c>
      <c r="I41" s="38">
        <v>105</v>
      </c>
      <c r="J41" s="40">
        <v>54.400700000000001</v>
      </c>
      <c r="K41" s="38" t="s">
        <v>1</v>
      </c>
      <c r="L41" s="41">
        <v>3164</v>
      </c>
      <c r="M41" s="42">
        <f t="shared" si="22"/>
        <v>-4.5937231666666669</v>
      </c>
      <c r="N41" s="42">
        <f t="shared" si="23"/>
        <v>-105.90667833333333</v>
      </c>
      <c r="O41" s="52">
        <f t="shared" si="24"/>
        <v>1.6509719209783702</v>
      </c>
      <c r="P41" s="52">
        <f t="shared" si="25"/>
        <v>-1.8484202367672073</v>
      </c>
      <c r="Q41" s="53">
        <f t="shared" si="17"/>
        <v>0</v>
      </c>
      <c r="R41" s="53">
        <f t="shared" si="5"/>
        <v>0</v>
      </c>
      <c r="S41" s="11">
        <f>Assumptions!$D$4</f>
        <v>10</v>
      </c>
      <c r="T41" s="11">
        <f t="shared" si="26"/>
        <v>0</v>
      </c>
      <c r="U41" s="11">
        <f>Assumptions!$D$7</f>
        <v>0.25</v>
      </c>
      <c r="V41" s="45">
        <f>Assumptions!$D$7</f>
        <v>0.25</v>
      </c>
      <c r="W41" s="11">
        <f>IF(D41="SMOBS", L41/Assumptions!$D$14/60, IF(D41="ARRA", L41/Assumptions!$D$15/60, IF(D41="Abalone",L41/Assumptions!$D$16/60, IF(D41="SPOBS", L41/Assumptions!$D$17/60))))</f>
        <v>1.5979797979797978</v>
      </c>
      <c r="X41" s="45">
        <f>IF(B41=1, Assumptions!$D$10, 0)</f>
        <v>0</v>
      </c>
      <c r="Y41" s="57">
        <f t="shared" si="18"/>
        <v>2.0979797979797978</v>
      </c>
      <c r="Z41" s="55">
        <f t="shared" si="19"/>
        <v>44134.80067768554</v>
      </c>
      <c r="AA41" s="35">
        <f t="shared" si="20"/>
        <v>44134.80067768554</v>
      </c>
      <c r="AB41" s="11">
        <f t="shared" si="21"/>
        <v>321.21626445301808</v>
      </c>
      <c r="AC41" s="11">
        <f t="shared" si="27"/>
        <v>13.384011018875754</v>
      </c>
    </row>
    <row r="42" spans="1:29" s="47" customFormat="1" x14ac:dyDescent="0.2">
      <c r="A42" s="47">
        <v>39</v>
      </c>
      <c r="B42" s="47">
        <v>0</v>
      </c>
      <c r="C42" s="38" t="s">
        <v>72</v>
      </c>
      <c r="D42" s="38" t="s">
        <v>53</v>
      </c>
      <c r="E42" s="39" t="s">
        <v>133</v>
      </c>
      <c r="F42" s="38">
        <v>4</v>
      </c>
      <c r="G42" s="40">
        <v>35.511920000000003</v>
      </c>
      <c r="H42" s="38" t="s">
        <v>24</v>
      </c>
      <c r="I42" s="38">
        <v>105</v>
      </c>
      <c r="J42" s="40">
        <v>54.409329999999997</v>
      </c>
      <c r="K42" s="38" t="s">
        <v>1</v>
      </c>
      <c r="L42" s="41">
        <v>3319</v>
      </c>
      <c r="M42" s="42">
        <f t="shared" si="22"/>
        <v>-4.5918653333333337</v>
      </c>
      <c r="N42" s="42">
        <f t="shared" si="23"/>
        <v>-105.90682216666667</v>
      </c>
      <c r="O42" s="52">
        <f t="shared" si="24"/>
        <v>1.6509394956697501</v>
      </c>
      <c r="P42" s="52">
        <f t="shared" si="25"/>
        <v>-1.8484227471324481</v>
      </c>
      <c r="Q42" s="53">
        <f t="shared" si="17"/>
        <v>1</v>
      </c>
      <c r="R42" s="53">
        <f t="shared" si="5"/>
        <v>1</v>
      </c>
      <c r="S42" s="11">
        <f>Assumptions!$D$4</f>
        <v>10</v>
      </c>
      <c r="T42" s="11">
        <f t="shared" si="26"/>
        <v>0.1</v>
      </c>
      <c r="U42" s="11">
        <f>Assumptions!$D$7</f>
        <v>0.25</v>
      </c>
      <c r="V42" s="45">
        <f>Assumptions!$D$7</f>
        <v>0.25</v>
      </c>
      <c r="W42" s="11">
        <f>IF(D42="SMOBS", L42/Assumptions!$D$14/60, IF(D42="ARRA", L42/Assumptions!$D$15/60, IF(D42="Abalone",L42/Assumptions!$D$16/60, IF(D42="SPOBS", L42/Assumptions!$D$17/60))))</f>
        <v>1.6762626262626263</v>
      </c>
      <c r="X42" s="45">
        <f>IF(B42=1, Assumptions!$D$10, 0)</f>
        <v>0</v>
      </c>
      <c r="Y42" s="57">
        <f t="shared" si="18"/>
        <v>2.1762626262626261</v>
      </c>
      <c r="Z42" s="55">
        <f t="shared" si="19"/>
        <v>44134.891355294967</v>
      </c>
      <c r="AA42" s="35">
        <f t="shared" si="20"/>
        <v>44134.895521961633</v>
      </c>
      <c r="AB42" s="11">
        <f t="shared" si="21"/>
        <v>323.49252707924461</v>
      </c>
      <c r="AC42" s="11">
        <f t="shared" si="27"/>
        <v>13.478855294968525</v>
      </c>
    </row>
    <row r="43" spans="1:29" s="47" customFormat="1" x14ac:dyDescent="0.2">
      <c r="A43" s="47">
        <v>40</v>
      </c>
      <c r="B43" s="47">
        <v>0</v>
      </c>
      <c r="C43" s="38" t="s">
        <v>73</v>
      </c>
      <c r="D43" s="38" t="s">
        <v>53</v>
      </c>
      <c r="E43" s="39" t="s">
        <v>134</v>
      </c>
      <c r="F43" s="38">
        <v>4</v>
      </c>
      <c r="G43" s="40">
        <v>35.222549999999998</v>
      </c>
      <c r="H43" s="38" t="s">
        <v>24</v>
      </c>
      <c r="I43" s="38">
        <v>105</v>
      </c>
      <c r="J43" s="40">
        <v>54.327039999999997</v>
      </c>
      <c r="K43" s="38" t="s">
        <v>1</v>
      </c>
      <c r="L43" s="43">
        <v>3462</v>
      </c>
      <c r="M43" s="42">
        <f t="shared" si="22"/>
        <v>-4.5870424999999999</v>
      </c>
      <c r="N43" s="42">
        <f t="shared" si="23"/>
        <v>-105.90545066666667</v>
      </c>
      <c r="O43" s="52">
        <f t="shared" si="24"/>
        <v>1.6508553213488084</v>
      </c>
      <c r="P43" s="52">
        <f t="shared" si="25"/>
        <v>-1.848398809941757</v>
      </c>
      <c r="Q43" s="53">
        <f t="shared" si="17"/>
        <v>12</v>
      </c>
      <c r="R43" s="53">
        <f t="shared" si="5"/>
        <v>6</v>
      </c>
      <c r="S43" s="11">
        <f>Assumptions!$D$4</f>
        <v>10</v>
      </c>
      <c r="T43" s="11">
        <f t="shared" si="26"/>
        <v>0.6</v>
      </c>
      <c r="U43" s="11">
        <f>Assumptions!$D$7</f>
        <v>0.25</v>
      </c>
      <c r="V43" s="45">
        <f>Assumptions!$D$7</f>
        <v>0.25</v>
      </c>
      <c r="W43" s="11">
        <f>IF(D43="SMOBS", L43/Assumptions!$D$14/60, IF(D43="ARRA", L43/Assumptions!$D$15/60, IF(D43="Abalone",L43/Assumptions!$D$16/60, IF(D43="SPOBS", L43/Assumptions!$D$17/60))))</f>
        <v>1.7484848484848485</v>
      </c>
      <c r="X43" s="45">
        <f>IF(B43=1, Assumptions!$D$10, 0)</f>
        <v>0</v>
      </c>
      <c r="Y43" s="57">
        <f t="shared" si="18"/>
        <v>2.2484848484848485</v>
      </c>
      <c r="Z43" s="55">
        <f t="shared" si="19"/>
        <v>44134.989208830317</v>
      </c>
      <c r="AA43" s="35">
        <f t="shared" si="20"/>
        <v>44135.014208830318</v>
      </c>
      <c r="AB43" s="11">
        <f t="shared" si="21"/>
        <v>326.34101192769594</v>
      </c>
      <c r="AC43" s="11">
        <f t="shared" si="27"/>
        <v>13.597542163653998</v>
      </c>
    </row>
    <row r="44" spans="1:29" s="47" customFormat="1" x14ac:dyDescent="0.2">
      <c r="A44" s="47">
        <v>41</v>
      </c>
      <c r="B44" s="47">
        <v>0</v>
      </c>
      <c r="C44" s="38" t="s">
        <v>38</v>
      </c>
      <c r="D44" s="38" t="s">
        <v>52</v>
      </c>
      <c r="E44" s="39" t="s">
        <v>97</v>
      </c>
      <c r="F44" s="38">
        <v>4</v>
      </c>
      <c r="G44" s="40">
        <v>37.189</v>
      </c>
      <c r="H44" s="38" t="s">
        <v>24</v>
      </c>
      <c r="I44" s="38">
        <v>106</v>
      </c>
      <c r="J44" s="40">
        <v>0.627</v>
      </c>
      <c r="K44" s="38" t="s">
        <v>1</v>
      </c>
      <c r="L44" s="41">
        <v>3003</v>
      </c>
      <c r="M44" s="42">
        <f t="shared" si="22"/>
        <v>-4.6198166666666669</v>
      </c>
      <c r="N44" s="42">
        <f t="shared" si="23"/>
        <v>-106.01045000000001</v>
      </c>
      <c r="O44" s="52">
        <f t="shared" si="24"/>
        <v>1.6514273384667393</v>
      </c>
      <c r="P44" s="52">
        <f t="shared" si="25"/>
        <v>-1.8502313940208228</v>
      </c>
      <c r="Q44" s="53">
        <f t="shared" si="17"/>
        <v>9</v>
      </c>
      <c r="R44" s="53">
        <f t="shared" si="5"/>
        <v>5</v>
      </c>
      <c r="S44" s="11">
        <f>Assumptions!$D$4</f>
        <v>10</v>
      </c>
      <c r="T44" s="11">
        <f t="shared" si="26"/>
        <v>0.5</v>
      </c>
      <c r="U44" s="11">
        <f>Assumptions!$D$6</f>
        <v>0.5</v>
      </c>
      <c r="V44" s="45">
        <f>Assumptions!$D$7</f>
        <v>0.25</v>
      </c>
      <c r="W44" s="11">
        <f>IF(D44="SMOBS", L44/Assumptions!$D$14/60, IF(D44="ARRA", L44/Assumptions!$D$15/60, IF(D44="Abalone",L44/Assumptions!$D$16/60, IF(D44="SPOBS", L44/Assumptions!$D$17/60))))</f>
        <v>1.0427083333333333</v>
      </c>
      <c r="X44" s="45">
        <f>IF(B44=1, Assumptions!$D$10, 0)</f>
        <v>0</v>
      </c>
      <c r="Y44" s="57">
        <f t="shared" si="18"/>
        <v>1.7927083333333333</v>
      </c>
      <c r="Z44" s="55">
        <f t="shared" si="19"/>
        <v>44135.088905010874</v>
      </c>
      <c r="AA44" s="35">
        <f t="shared" si="20"/>
        <v>44135.10973834421</v>
      </c>
      <c r="AB44" s="11">
        <f t="shared" si="21"/>
        <v>328.63372026110301</v>
      </c>
      <c r="AC44" s="11">
        <f t="shared" si="27"/>
        <v>13.693071677545959</v>
      </c>
    </row>
    <row r="45" spans="1:29" s="47" customFormat="1" x14ac:dyDescent="0.2">
      <c r="A45" s="47">
        <v>42</v>
      </c>
      <c r="B45" s="47">
        <v>0</v>
      </c>
      <c r="C45" s="38" t="s">
        <v>39</v>
      </c>
      <c r="D45" s="38" t="s">
        <v>52</v>
      </c>
      <c r="E45" s="39" t="s">
        <v>98</v>
      </c>
      <c r="F45" s="38">
        <v>4</v>
      </c>
      <c r="G45" s="40">
        <v>34.213000000000001</v>
      </c>
      <c r="H45" s="38" t="s">
        <v>24</v>
      </c>
      <c r="I45" s="38">
        <v>105</v>
      </c>
      <c r="J45" s="40">
        <v>56.893999999999998</v>
      </c>
      <c r="K45" s="38" t="s">
        <v>1</v>
      </c>
      <c r="L45" s="41">
        <v>3640</v>
      </c>
      <c r="M45" s="42">
        <f t="shared" si="22"/>
        <v>-4.570216666666667</v>
      </c>
      <c r="N45" s="42">
        <f t="shared" si="23"/>
        <v>-105.94823333333333</v>
      </c>
      <c r="O45" s="52">
        <f t="shared" si="24"/>
        <v>1.6505616551577502</v>
      </c>
      <c r="P45" s="52">
        <f t="shared" si="25"/>
        <v>-1.8491455083378736</v>
      </c>
      <c r="Q45" s="53">
        <f t="shared" si="17"/>
        <v>10</v>
      </c>
      <c r="R45" s="53">
        <f t="shared" si="5"/>
        <v>5</v>
      </c>
      <c r="S45" s="11">
        <f>Assumptions!$D$4</f>
        <v>10</v>
      </c>
      <c r="T45" s="11">
        <f t="shared" si="26"/>
        <v>0.5</v>
      </c>
      <c r="U45" s="11">
        <f>Assumptions!$D$6</f>
        <v>0.5</v>
      </c>
      <c r="V45" s="45">
        <f>Assumptions!$D$7</f>
        <v>0.25</v>
      </c>
      <c r="W45" s="11">
        <f>IF(D45="SMOBS", L45/Assumptions!$D$14/60, IF(D45="ARRA", L45/Assumptions!$D$15/60, IF(D45="Abalone",L45/Assumptions!$D$16/60, IF(D45="SPOBS", L45/Assumptions!$D$17/60))))</f>
        <v>1.2638888888888888</v>
      </c>
      <c r="X45" s="45">
        <f>IF(B45=1, Assumptions!$D$10, 0)</f>
        <v>0</v>
      </c>
      <c r="Y45" s="57">
        <f t="shared" si="18"/>
        <v>2.0138888888888888</v>
      </c>
      <c r="Z45" s="55">
        <f t="shared" si="19"/>
        <v>44135.193650381247</v>
      </c>
      <c r="AA45" s="35">
        <f t="shared" si="20"/>
        <v>44135.214483714582</v>
      </c>
      <c r="AB45" s="11">
        <f t="shared" si="21"/>
        <v>331.14760915003717</v>
      </c>
      <c r="AC45" s="11">
        <f t="shared" si="27"/>
        <v>13.797817047918215</v>
      </c>
    </row>
    <row r="46" spans="1:29" s="47" customFormat="1" x14ac:dyDescent="0.2">
      <c r="A46" s="47">
        <v>43</v>
      </c>
      <c r="B46" s="47">
        <v>0</v>
      </c>
      <c r="C46" s="38" t="s">
        <v>40</v>
      </c>
      <c r="D46" s="38" t="s">
        <v>52</v>
      </c>
      <c r="E46" s="39" t="s">
        <v>99</v>
      </c>
      <c r="F46" s="38">
        <v>4</v>
      </c>
      <c r="G46" s="40">
        <v>31.814</v>
      </c>
      <c r="H46" s="38" t="s">
        <v>24</v>
      </c>
      <c r="I46" s="38">
        <v>105</v>
      </c>
      <c r="J46" s="40">
        <v>52.237000000000002</v>
      </c>
      <c r="K46" s="38" t="s">
        <v>1</v>
      </c>
      <c r="L46" s="41">
        <v>3055</v>
      </c>
      <c r="M46" s="42">
        <f t="shared" si="22"/>
        <v>-4.5302333333333333</v>
      </c>
      <c r="N46" s="42">
        <f t="shared" si="23"/>
        <v>-105.87061666666666</v>
      </c>
      <c r="O46" s="52">
        <f t="shared" si="24"/>
        <v>1.6498638143451609</v>
      </c>
      <c r="P46" s="52">
        <f t="shared" si="25"/>
        <v>-1.8477908419501172</v>
      </c>
      <c r="Q46" s="53">
        <f t="shared" si="17"/>
        <v>16</v>
      </c>
      <c r="R46" s="53">
        <f t="shared" si="5"/>
        <v>9</v>
      </c>
      <c r="S46" s="11">
        <f>Assumptions!$D$4</f>
        <v>10</v>
      </c>
      <c r="T46" s="11">
        <f t="shared" si="26"/>
        <v>0.9</v>
      </c>
      <c r="U46" s="11">
        <f>Assumptions!$D$6</f>
        <v>0.5</v>
      </c>
      <c r="V46" s="45">
        <f>Assumptions!$D$7</f>
        <v>0.25</v>
      </c>
      <c r="W46" s="11">
        <f>IF(D46="SMOBS", L46/Assumptions!$D$14/60, IF(D46="ARRA", L46/Assumptions!$D$15/60, IF(D46="Abalone",L46/Assumptions!$D$16/60, IF(D46="SPOBS", L46/Assumptions!$D$17/60))))</f>
        <v>1.0607638888888888</v>
      </c>
      <c r="X46" s="45">
        <f>IF(B46=1, Assumptions!$D$10, 0)</f>
        <v>0</v>
      </c>
      <c r="Y46" s="57">
        <f t="shared" si="18"/>
        <v>1.8107638888888888</v>
      </c>
      <c r="Z46" s="55">
        <f t="shared" si="19"/>
        <v>44135.289932209955</v>
      </c>
      <c r="AA46" s="35">
        <f t="shared" si="20"/>
        <v>44135.327432209953</v>
      </c>
      <c r="AB46" s="11">
        <f t="shared" si="21"/>
        <v>333.85837303893641</v>
      </c>
      <c r="AC46" s="11">
        <f t="shared" si="27"/>
        <v>13.910765543289017</v>
      </c>
    </row>
    <row r="47" spans="1:29" s="47" customFormat="1" x14ac:dyDescent="0.2">
      <c r="A47" s="47">
        <v>44</v>
      </c>
      <c r="B47" s="47">
        <v>0</v>
      </c>
      <c r="C47" s="38" t="s">
        <v>37</v>
      </c>
      <c r="D47" s="38" t="s">
        <v>52</v>
      </c>
      <c r="E47" s="39" t="s">
        <v>96</v>
      </c>
      <c r="F47" s="38">
        <v>4</v>
      </c>
      <c r="G47" s="40">
        <v>33.572000000000003</v>
      </c>
      <c r="H47" s="38" t="s">
        <v>24</v>
      </c>
      <c r="I47" s="38">
        <v>106</v>
      </c>
      <c r="J47" s="40">
        <v>0.92500000000000004</v>
      </c>
      <c r="K47" s="38" t="s">
        <v>1</v>
      </c>
      <c r="L47" s="43">
        <v>3528</v>
      </c>
      <c r="M47" s="42">
        <f t="shared" si="22"/>
        <v>-4.5595333333333334</v>
      </c>
      <c r="N47" s="42">
        <f t="shared" si="23"/>
        <v>-106.01541666666667</v>
      </c>
      <c r="O47" s="52">
        <f t="shared" si="24"/>
        <v>1.6503751958159953</v>
      </c>
      <c r="P47" s="52">
        <f t="shared" si="25"/>
        <v>-1.850318078707005</v>
      </c>
      <c r="Q47" s="53">
        <f t="shared" si="17"/>
        <v>104</v>
      </c>
      <c r="R47" s="53">
        <f t="shared" si="5"/>
        <v>56</v>
      </c>
      <c r="S47" s="11">
        <f>Assumptions!$D$4</f>
        <v>10</v>
      </c>
      <c r="T47" s="11">
        <f t="shared" si="26"/>
        <v>5.6</v>
      </c>
      <c r="U47" s="11">
        <f>Assumptions!$D$6</f>
        <v>0.5</v>
      </c>
      <c r="V47" s="45">
        <f>Assumptions!$D$7</f>
        <v>0.25</v>
      </c>
      <c r="W47" s="11">
        <f>IF(D47="SMOBS", L47/Assumptions!$D$14/60, IF(D47="ARRA", L47/Assumptions!$D$15/60, IF(D47="Abalone",L47/Assumptions!$D$16/60, IF(D47="SPOBS", L47/Assumptions!$D$17/60))))</f>
        <v>1.2250000000000001</v>
      </c>
      <c r="X47" s="45">
        <f>IF(B47=1, Assumptions!$D$10, 0)</f>
        <v>0</v>
      </c>
      <c r="Y47" s="57">
        <f t="shared" si="18"/>
        <v>1.9750000000000001</v>
      </c>
      <c r="Z47" s="55">
        <f t="shared" si="19"/>
        <v>44135.409723876619</v>
      </c>
      <c r="AA47" s="35">
        <f t="shared" si="20"/>
        <v>44135.643057209949</v>
      </c>
      <c r="AB47" s="11">
        <f t="shared" si="21"/>
        <v>341.43337303883163</v>
      </c>
      <c r="AC47" s="11">
        <f t="shared" si="27"/>
        <v>14.226390543284651</v>
      </c>
    </row>
    <row r="48" spans="1:29" s="47" customFormat="1" x14ac:dyDescent="0.2">
      <c r="A48" s="47">
        <v>45</v>
      </c>
      <c r="B48" s="47">
        <v>1</v>
      </c>
      <c r="C48" s="38" t="s">
        <v>41</v>
      </c>
      <c r="D48" s="38" t="s">
        <v>52</v>
      </c>
      <c r="E48" s="39" t="s">
        <v>100</v>
      </c>
      <c r="F48" s="38">
        <v>4</v>
      </c>
      <c r="G48" s="40">
        <v>28.4269</v>
      </c>
      <c r="H48" s="38" t="s">
        <v>24</v>
      </c>
      <c r="I48" s="38">
        <v>105</v>
      </c>
      <c r="J48" s="40">
        <v>4.9779999999999998</v>
      </c>
      <c r="K48" s="38" t="s">
        <v>1</v>
      </c>
      <c r="L48" s="41">
        <v>2696</v>
      </c>
      <c r="M48" s="42">
        <f t="shared" si="22"/>
        <v>-4.4737816666666665</v>
      </c>
      <c r="N48" s="42">
        <f t="shared" si="23"/>
        <v>-105.08296666666666</v>
      </c>
      <c r="O48" s="52">
        <f t="shared" si="24"/>
        <v>1.6488785468935894</v>
      </c>
      <c r="P48" s="52">
        <f t="shared" si="25"/>
        <v>-1.8340437560967839</v>
      </c>
      <c r="Q48" s="53">
        <f t="shared" si="17"/>
        <v>17</v>
      </c>
      <c r="R48" s="53">
        <f t="shared" si="5"/>
        <v>9</v>
      </c>
      <c r="S48" s="11">
        <f>Assumptions!$D$4</f>
        <v>10</v>
      </c>
      <c r="T48" s="11">
        <f t="shared" si="26"/>
        <v>0.9</v>
      </c>
      <c r="U48" s="11">
        <f>Assumptions!$D$6</f>
        <v>0.5</v>
      </c>
      <c r="V48" s="45">
        <f>Assumptions!$D$7</f>
        <v>0.25</v>
      </c>
      <c r="W48" s="11">
        <f>IF(D48="SMOBS", L48/Assumptions!$D$14/60, IF(D48="ARRA", L48/Assumptions!$D$15/60, IF(D48="Abalone",L48/Assumptions!$D$16/60, IF(D48="SPOBS", L48/Assumptions!$D$17/60))))</f>
        <v>0.93611111111111112</v>
      </c>
      <c r="X48" s="45">
        <f>IF(B48=1, Assumptions!$D$10, 0)</f>
        <v>1</v>
      </c>
      <c r="Y48" s="57">
        <f t="shared" si="18"/>
        <v>2.6861111111111109</v>
      </c>
      <c r="Z48" s="55">
        <f t="shared" si="19"/>
        <v>44135.754978506244</v>
      </c>
      <c r="AA48" s="35">
        <f t="shared" si="20"/>
        <v>44135.792478506242</v>
      </c>
      <c r="AB48" s="11">
        <f t="shared" si="21"/>
        <v>345.01948414987419</v>
      </c>
      <c r="AC48" s="11">
        <f t="shared" si="27"/>
        <v>14.375811839578091</v>
      </c>
    </row>
    <row r="49" spans="1:29" s="47" customFormat="1" x14ac:dyDescent="0.2">
      <c r="A49" s="47">
        <v>46</v>
      </c>
      <c r="B49" s="47">
        <v>1</v>
      </c>
      <c r="C49" s="38" t="s">
        <v>42</v>
      </c>
      <c r="D49" s="38" t="s">
        <v>52</v>
      </c>
      <c r="E49" s="39" t="s">
        <v>101</v>
      </c>
      <c r="F49" s="38">
        <v>4</v>
      </c>
      <c r="G49" s="44">
        <v>37.250999999999998</v>
      </c>
      <c r="H49" s="38" t="s">
        <v>24</v>
      </c>
      <c r="I49" s="38">
        <v>105</v>
      </c>
      <c r="J49" s="40">
        <v>3.254</v>
      </c>
      <c r="K49" s="38" t="s">
        <v>1</v>
      </c>
      <c r="L49" s="41">
        <v>2905</v>
      </c>
      <c r="M49" s="42">
        <f t="shared" si="22"/>
        <v>-4.6208499999999999</v>
      </c>
      <c r="N49" s="42">
        <f t="shared" si="23"/>
        <v>-105.05423333333333</v>
      </c>
      <c r="O49" s="52">
        <f t="shared" si="24"/>
        <v>1.6514453735356767</v>
      </c>
      <c r="P49" s="52">
        <f t="shared" si="25"/>
        <v>-1.8335422648250441</v>
      </c>
      <c r="Q49" s="53">
        <f t="shared" si="17"/>
        <v>8</v>
      </c>
      <c r="R49" s="53">
        <f t="shared" si="5"/>
        <v>4</v>
      </c>
      <c r="S49" s="11">
        <f>Assumptions!$D$4</f>
        <v>10</v>
      </c>
      <c r="T49" s="11">
        <f t="shared" si="26"/>
        <v>0.4</v>
      </c>
      <c r="U49" s="11">
        <f>Assumptions!$D$6</f>
        <v>0.5</v>
      </c>
      <c r="V49" s="45">
        <f>Assumptions!$D$7</f>
        <v>0.25</v>
      </c>
      <c r="W49" s="11">
        <f>IF(D49="SMOBS", L49/Assumptions!$D$14/60, IF(D49="ARRA", L49/Assumptions!$D$15/60, IF(D49="Abalone",L49/Assumptions!$D$16/60, IF(D49="SPOBS", L49/Assumptions!$D$17/60))))</f>
        <v>1.0086805555555556</v>
      </c>
      <c r="X49" s="45">
        <f>IF(B49=1, Assumptions!$D$10, 0)</f>
        <v>1</v>
      </c>
      <c r="Y49" s="57">
        <f t="shared" si="18"/>
        <v>2.7586805555555554</v>
      </c>
      <c r="Z49" s="55">
        <f t="shared" si="19"/>
        <v>44135.907423529388</v>
      </c>
      <c r="AA49" s="35">
        <f t="shared" si="20"/>
        <v>44135.924090196058</v>
      </c>
      <c r="AB49" s="11">
        <f t="shared" si="21"/>
        <v>348.17816470545949</v>
      </c>
      <c r="AC49" s="11">
        <f t="shared" si="27"/>
        <v>14.507423529394146</v>
      </c>
    </row>
    <row r="50" spans="1:29" s="47" customFormat="1" x14ac:dyDescent="0.2">
      <c r="A50" s="47">
        <v>47</v>
      </c>
      <c r="B50" s="47">
        <v>0</v>
      </c>
      <c r="C50" s="38" t="s">
        <v>43</v>
      </c>
      <c r="D50" s="38" t="s">
        <v>52</v>
      </c>
      <c r="E50" s="39" t="s">
        <v>102</v>
      </c>
      <c r="F50" s="38">
        <v>4</v>
      </c>
      <c r="G50" s="40">
        <v>33.259</v>
      </c>
      <c r="H50" s="38" t="s">
        <v>24</v>
      </c>
      <c r="I50" s="38">
        <v>105</v>
      </c>
      <c r="J50" s="40">
        <v>1.7769999999999999</v>
      </c>
      <c r="K50" s="38" t="s">
        <v>1</v>
      </c>
      <c r="L50" s="41">
        <v>3137</v>
      </c>
      <c r="M50" s="42">
        <f t="shared" si="22"/>
        <v>-4.5543166666666668</v>
      </c>
      <c r="N50" s="42">
        <f t="shared" si="23"/>
        <v>-105.02961666666667</v>
      </c>
      <c r="O50" s="52">
        <f t="shared" si="24"/>
        <v>1.650284147806683</v>
      </c>
      <c r="P50" s="52">
        <f t="shared" si="25"/>
        <v>-1.833112622940845</v>
      </c>
      <c r="Q50" s="53">
        <f t="shared" si="17"/>
        <v>29</v>
      </c>
      <c r="R50" s="53">
        <f t="shared" si="5"/>
        <v>16</v>
      </c>
      <c r="S50" s="11">
        <f>Assumptions!$D$4</f>
        <v>10</v>
      </c>
      <c r="T50" s="11">
        <f t="shared" si="26"/>
        <v>1.6</v>
      </c>
      <c r="U50" s="11">
        <f>Assumptions!$D$6</f>
        <v>0.5</v>
      </c>
      <c r="V50" s="45">
        <f>Assumptions!$D$7</f>
        <v>0.25</v>
      </c>
      <c r="W50" s="11">
        <f>IF(D50="SMOBS", L50/Assumptions!$D$14/60, IF(D50="ARRA", L50/Assumptions!$D$15/60, IF(D50="Abalone",L50/Assumptions!$D$16/60, IF(D50="SPOBS", L50/Assumptions!$D$17/60))))</f>
        <v>1.0892361111111113</v>
      </c>
      <c r="X50" s="45">
        <f>IF(B50=1, Assumptions!$D$10, 0)</f>
        <v>0</v>
      </c>
      <c r="Y50" s="57">
        <f t="shared" si="18"/>
        <v>1.8392361111111113</v>
      </c>
      <c r="Z50" s="55">
        <f t="shared" si="19"/>
        <v>44136.00072503402</v>
      </c>
      <c r="AA50" s="35">
        <f t="shared" si="20"/>
        <v>44136.067391700686</v>
      </c>
      <c r="AB50" s="11">
        <f t="shared" si="21"/>
        <v>351.61740081652533</v>
      </c>
      <c r="AC50" s="11">
        <f t="shared" si="27"/>
        <v>14.650725034021889</v>
      </c>
    </row>
    <row r="51" spans="1:29" s="47" customFormat="1" x14ac:dyDescent="0.2">
      <c r="A51" s="47">
        <v>48</v>
      </c>
      <c r="B51" s="47">
        <v>0</v>
      </c>
      <c r="C51" s="38" t="s">
        <v>44</v>
      </c>
      <c r="D51" s="38" t="s">
        <v>52</v>
      </c>
      <c r="E51" s="39" t="s">
        <v>103</v>
      </c>
      <c r="F51" s="38">
        <v>4</v>
      </c>
      <c r="G51" s="40">
        <v>34.54</v>
      </c>
      <c r="H51" s="38" t="s">
        <v>24</v>
      </c>
      <c r="I51" s="38">
        <v>104</v>
      </c>
      <c r="J51" s="40">
        <v>46.283000000000001</v>
      </c>
      <c r="K51" s="38" t="s">
        <v>1</v>
      </c>
      <c r="L51" s="41">
        <v>3224</v>
      </c>
      <c r="M51" s="42">
        <f t="shared" si="22"/>
        <v>-4.5756666666666668</v>
      </c>
      <c r="N51" s="42">
        <f t="shared" si="23"/>
        <v>-104.77138333333333</v>
      </c>
      <c r="O51" s="52">
        <f t="shared" si="24"/>
        <v>1.6506567756019837</v>
      </c>
      <c r="P51" s="52">
        <f t="shared" si="25"/>
        <v>-1.8286056010357783</v>
      </c>
      <c r="Q51" s="53">
        <f t="shared" si="17"/>
        <v>12</v>
      </c>
      <c r="R51" s="53">
        <f t="shared" si="5"/>
        <v>6</v>
      </c>
      <c r="S51" s="11">
        <f>Assumptions!$D$4</f>
        <v>10</v>
      </c>
      <c r="T51" s="11">
        <f t="shared" si="26"/>
        <v>0.6</v>
      </c>
      <c r="U51" s="11">
        <f>Assumptions!$D$6</f>
        <v>0.5</v>
      </c>
      <c r="V51" s="45">
        <f>Assumptions!$D$7</f>
        <v>0.25</v>
      </c>
      <c r="W51" s="11">
        <f>IF(D51="SMOBS", L51/Assumptions!$D$14/60, IF(D51="ARRA", L51/Assumptions!$D$15/60, IF(D51="Abalone",L51/Assumptions!$D$16/60, IF(D51="SPOBS", L51/Assumptions!$D$17/60))))</f>
        <v>1.1194444444444445</v>
      </c>
      <c r="X51" s="45">
        <f>IF(B51=1, Assumptions!$D$10, 0)</f>
        <v>0</v>
      </c>
      <c r="Y51" s="57">
        <f t="shared" si="18"/>
        <v>1.8694444444444445</v>
      </c>
      <c r="Z51" s="55">
        <f t="shared" si="19"/>
        <v>44136.145285219201</v>
      </c>
      <c r="AA51" s="35">
        <f t="shared" si="20"/>
        <v>44136.170285219203</v>
      </c>
      <c r="AB51" s="11">
        <f t="shared" si="21"/>
        <v>354.08684526092838</v>
      </c>
      <c r="AC51" s="11">
        <f t="shared" si="27"/>
        <v>14.753618552538683</v>
      </c>
    </row>
    <row r="52" spans="1:29" s="47" customFormat="1" x14ac:dyDescent="0.2">
      <c r="A52" s="47">
        <v>49</v>
      </c>
      <c r="B52" s="47">
        <v>1</v>
      </c>
      <c r="C52" s="38" t="s">
        <v>45</v>
      </c>
      <c r="D52" s="38" t="s">
        <v>52</v>
      </c>
      <c r="E52" s="39" t="s">
        <v>104</v>
      </c>
      <c r="F52" s="38">
        <v>4</v>
      </c>
      <c r="G52" s="40">
        <v>40.423999999999999</v>
      </c>
      <c r="H52" s="38" t="s">
        <v>24</v>
      </c>
      <c r="I52" s="38">
        <v>104</v>
      </c>
      <c r="J52" s="40">
        <v>44.134</v>
      </c>
      <c r="K52" s="38" t="s">
        <v>1</v>
      </c>
      <c r="L52" s="41">
        <v>3294</v>
      </c>
      <c r="M52" s="42">
        <f t="shared" si="22"/>
        <v>-4.6737333333333329</v>
      </c>
      <c r="N52" s="42">
        <f t="shared" si="23"/>
        <v>-104.73556666666667</v>
      </c>
      <c r="O52" s="52">
        <f t="shared" si="24"/>
        <v>1.6523683618217728</v>
      </c>
      <c r="P52" s="52">
        <f t="shared" si="25"/>
        <v>-1.8279804822753558</v>
      </c>
      <c r="Q52" s="53">
        <f t="shared" si="17"/>
        <v>10</v>
      </c>
      <c r="R52" s="53">
        <f t="shared" si="5"/>
        <v>5</v>
      </c>
      <c r="S52" s="11">
        <f>Assumptions!$D$4</f>
        <v>10</v>
      </c>
      <c r="T52" s="11">
        <f t="shared" si="26"/>
        <v>0.5</v>
      </c>
      <c r="U52" s="11">
        <f>Assumptions!$D$6</f>
        <v>0.5</v>
      </c>
      <c r="V52" s="45">
        <f>Assumptions!$D$7</f>
        <v>0.25</v>
      </c>
      <c r="W52" s="11">
        <f>IF(D52="SMOBS", L52/Assumptions!$D$14/60, IF(D52="ARRA", L52/Assumptions!$D$15/60, IF(D52="Abalone",L52/Assumptions!$D$16/60, IF(D52="SPOBS", L52/Assumptions!$D$17/60))))</f>
        <v>1.14375</v>
      </c>
      <c r="X52" s="45">
        <f>IF(B52=1, Assumptions!$D$10, 0)</f>
        <v>1</v>
      </c>
      <c r="Y52" s="57">
        <f t="shared" si="18"/>
        <v>2.8937499999999998</v>
      </c>
      <c r="Z52" s="55">
        <f t="shared" si="19"/>
        <v>44136.290858135872</v>
      </c>
      <c r="AA52" s="35">
        <f t="shared" si="20"/>
        <v>44136.311691469207</v>
      </c>
      <c r="AB52" s="11">
        <f t="shared" si="21"/>
        <v>357.48059526103316</v>
      </c>
      <c r="AC52" s="11">
        <f t="shared" si="27"/>
        <v>14.895024802543048</v>
      </c>
    </row>
    <row r="53" spans="1:29" s="47" customFormat="1" x14ac:dyDescent="0.2">
      <c r="A53" s="47">
        <v>50</v>
      </c>
      <c r="B53" s="47">
        <v>0</v>
      </c>
      <c r="C53" s="38" t="s">
        <v>46</v>
      </c>
      <c r="D53" s="38" t="s">
        <v>52</v>
      </c>
      <c r="E53" s="39" t="s">
        <v>105</v>
      </c>
      <c r="F53" s="38">
        <v>4</v>
      </c>
      <c r="G53" s="40">
        <v>35.283000000000001</v>
      </c>
      <c r="H53" s="38" t="s">
        <v>24</v>
      </c>
      <c r="I53" s="38">
        <v>104</v>
      </c>
      <c r="J53" s="40">
        <v>43.643999999999998</v>
      </c>
      <c r="K53" s="38" t="s">
        <v>1</v>
      </c>
      <c r="L53" s="41">
        <v>3016</v>
      </c>
      <c r="M53" s="42">
        <f t="shared" si="22"/>
        <v>-4.58805</v>
      </c>
      <c r="N53" s="42">
        <f t="shared" si="23"/>
        <v>-104.7274</v>
      </c>
      <c r="O53" s="52">
        <f t="shared" si="24"/>
        <v>1.6508729055410223</v>
      </c>
      <c r="P53" s="52">
        <f t="shared" si="25"/>
        <v>-1.8278379470531094</v>
      </c>
      <c r="Q53" s="53">
        <f t="shared" si="17"/>
        <v>10</v>
      </c>
      <c r="R53" s="53">
        <f t="shared" si="5"/>
        <v>5</v>
      </c>
      <c r="S53" s="11">
        <f>Assumptions!$D$4</f>
        <v>10</v>
      </c>
      <c r="T53" s="11">
        <f t="shared" si="26"/>
        <v>0.5</v>
      </c>
      <c r="U53" s="11">
        <f>Assumptions!$D$6</f>
        <v>0.5</v>
      </c>
      <c r="V53" s="45">
        <f>Assumptions!$D$7</f>
        <v>0.25</v>
      </c>
      <c r="W53" s="11">
        <f>IF(D53="SMOBS", L53/Assumptions!$D$14/60, IF(D53="ARRA", L53/Assumptions!$D$15/60, IF(D53="Abalone",L53/Assumptions!$D$16/60, IF(D53="SPOBS", L53/Assumptions!$D$17/60))))</f>
        <v>1.0472222222222223</v>
      </c>
      <c r="X53" s="45">
        <f>IF(B53=1, Assumptions!$D$10, 0)</f>
        <v>0</v>
      </c>
      <c r="Y53" s="57">
        <f t="shared" si="18"/>
        <v>1.7972222222222223</v>
      </c>
      <c r="Z53" s="55">
        <f t="shared" si="19"/>
        <v>44136.386575728466</v>
      </c>
      <c r="AA53" s="35">
        <f t="shared" si="20"/>
        <v>44136.407409061801</v>
      </c>
      <c r="AB53" s="11">
        <f t="shared" si="21"/>
        <v>359.77781748329289</v>
      </c>
      <c r="AC53" s="11">
        <f t="shared" si="27"/>
        <v>14.990742395137204</v>
      </c>
    </row>
    <row r="54" spans="1:29" s="47" customFormat="1" x14ac:dyDescent="0.2">
      <c r="A54" s="47">
        <v>51</v>
      </c>
      <c r="B54" s="47">
        <v>1</v>
      </c>
      <c r="C54" s="38" t="s">
        <v>47</v>
      </c>
      <c r="D54" s="38" t="s">
        <v>52</v>
      </c>
      <c r="E54" s="39" t="s">
        <v>106</v>
      </c>
      <c r="F54" s="38">
        <v>4</v>
      </c>
      <c r="G54" s="40">
        <v>29.841999999999999</v>
      </c>
      <c r="H54" s="38" t="s">
        <v>24</v>
      </c>
      <c r="I54" s="38">
        <v>104</v>
      </c>
      <c r="J54" s="40">
        <v>42.061999999999998</v>
      </c>
      <c r="K54" s="38" t="s">
        <v>1</v>
      </c>
      <c r="L54" s="41">
        <v>3327</v>
      </c>
      <c r="M54" s="42">
        <f t="shared" si="22"/>
        <v>-4.4973666666666663</v>
      </c>
      <c r="N54" s="42">
        <f t="shared" si="23"/>
        <v>-104.70103333333333</v>
      </c>
      <c r="O54" s="52">
        <f t="shared" si="24"/>
        <v>1.6492901827976723</v>
      </c>
      <c r="P54" s="52">
        <f t="shared" si="25"/>
        <v>-1.8273777619070002</v>
      </c>
      <c r="Q54" s="53">
        <f t="shared" si="17"/>
        <v>4337</v>
      </c>
      <c r="R54" s="53">
        <f t="shared" si="5"/>
        <v>2342</v>
      </c>
      <c r="S54" s="11">
        <v>11</v>
      </c>
      <c r="T54" s="11">
        <f t="shared" si="26"/>
        <v>212.9</v>
      </c>
      <c r="U54" s="11">
        <f>Assumptions!$D$6</f>
        <v>0.5</v>
      </c>
      <c r="V54" s="45">
        <f>Assumptions!$D$7</f>
        <v>0.25</v>
      </c>
      <c r="W54" s="11">
        <f>IF(D54="SMOBS", L54/Assumptions!$D$14/60, IF(D54="ARRA", L54/Assumptions!$D$15/60, IF(D54="Abalone",L54/Assumptions!$D$16/60, IF(D54="SPOBS", L54/Assumptions!$D$17/60))))</f>
        <v>1.1552083333333334</v>
      </c>
      <c r="X54" s="45">
        <f>IF(B54=1, Assumptions!$D$10, 0)</f>
        <v>1</v>
      </c>
      <c r="Y54" s="54">
        <f t="shared" si="18"/>
        <v>2.9052083333333334</v>
      </c>
      <c r="Z54" s="55">
        <f t="shared" ref="Z54" si="28">AA53+Y54/24</f>
        <v>44136.528459409026</v>
      </c>
      <c r="AA54" s="35">
        <f t="shared" ref="AA54" si="29">Z54  + T54/24</f>
        <v>44145.399292742361</v>
      </c>
      <c r="AB54" s="11">
        <f t="shared" ref="AB54" si="30">(AA54-Z54)*24 + (Z54-AA53)*24 + AB53</f>
        <v>575.5830258167116</v>
      </c>
      <c r="AC54" s="11">
        <f t="shared" ref="AC54" si="31">AB54/24</f>
        <v>23.982626075696317</v>
      </c>
    </row>
    <row r="55" spans="1:29" ht="17" x14ac:dyDescent="0.2">
      <c r="C55" s="20" t="s">
        <v>25</v>
      </c>
      <c r="D55" s="20"/>
      <c r="E55" s="20"/>
      <c r="F55" s="20">
        <v>32</v>
      </c>
      <c r="G55" s="21">
        <v>39.021000000000001</v>
      </c>
      <c r="H55" s="20" t="s">
        <v>0</v>
      </c>
      <c r="I55" s="20">
        <v>117</v>
      </c>
      <c r="J55" s="21">
        <v>13.516</v>
      </c>
      <c r="K55" s="20" t="s">
        <v>1</v>
      </c>
      <c r="L55" s="27"/>
      <c r="M55" s="22">
        <f t="shared" si="0"/>
        <v>32.650350000000003</v>
      </c>
      <c r="N55" s="22">
        <f t="shared" si="1"/>
        <v>-117.22526666666667</v>
      </c>
      <c r="O55" s="23">
        <f t="shared" si="2"/>
        <v>1.000940217366366</v>
      </c>
      <c r="P55" s="23">
        <f t="shared" si="3"/>
        <v>-2.0459668698616915</v>
      </c>
      <c r="Q55" s="50">
        <f t="shared" ref="Q55" si="32" xml:space="preserve"> ROUND(ACOS( COS(O55)*COS(O56) + SIN(O55)*SIN(O56)*COS(P55-P56) ) * 6371,0)</f>
        <v>6</v>
      </c>
      <c r="R55" s="50">
        <f t="shared" si="5"/>
        <v>3</v>
      </c>
      <c r="S55" s="26">
        <v>5</v>
      </c>
      <c r="T55" s="26">
        <f t="shared" si="7"/>
        <v>0.6</v>
      </c>
      <c r="U55" s="26">
        <v>1</v>
      </c>
      <c r="V55" s="26"/>
      <c r="W55" s="26">
        <f t="shared" ref="W55" si="33">ROUND(L55/39/60,1)</f>
        <v>0</v>
      </c>
      <c r="X55" s="26">
        <v>0</v>
      </c>
      <c r="Y55" s="28">
        <v>0</v>
      </c>
      <c r="Z55" s="29">
        <f t="shared" ref="Z55:Z56" si="34">AA54+Y55/24</f>
        <v>44145.399292742361</v>
      </c>
      <c r="AA55" s="30">
        <f t="shared" ref="AA55:AA56" si="35">Z55  + T55/24</f>
        <v>44145.424292742362</v>
      </c>
      <c r="AB55" s="26">
        <f t="shared" ref="AB55:AB56" si="36">(AA55-Z55)*24 + (Z55-AA54)*24 + AB54</f>
        <v>576.18302581674652</v>
      </c>
      <c r="AC55" s="26">
        <f t="shared" ref="AC55:AC56" si="37">AB55/24</f>
        <v>24.007626075697772</v>
      </c>
    </row>
    <row r="56" spans="1:29" ht="17" x14ac:dyDescent="0.2">
      <c r="C56" s="20" t="s">
        <v>26</v>
      </c>
      <c r="D56" s="27"/>
      <c r="E56" s="27"/>
      <c r="F56" s="20">
        <v>32</v>
      </c>
      <c r="G56" s="21">
        <v>42.433</v>
      </c>
      <c r="H56" s="20" t="s">
        <v>0</v>
      </c>
      <c r="I56" s="20">
        <v>117</v>
      </c>
      <c r="J56" s="21">
        <v>14.211</v>
      </c>
      <c r="K56" s="20" t="s">
        <v>1</v>
      </c>
      <c r="L56" s="20"/>
      <c r="M56" s="22">
        <f t="shared" si="0"/>
        <v>32.707216666666667</v>
      </c>
      <c r="N56" s="22">
        <f t="shared" si="1"/>
        <v>-117.23685</v>
      </c>
      <c r="O56" s="23">
        <f t="shared" si="2"/>
        <v>0.99994770679839851</v>
      </c>
      <c r="P56" s="23">
        <f t="shared" si="3"/>
        <v>-2.0461690371667141</v>
      </c>
      <c r="Q56" s="24"/>
      <c r="R56" s="24"/>
      <c r="S56" s="26"/>
      <c r="T56" s="26"/>
      <c r="U56" s="26"/>
      <c r="V56" s="26"/>
      <c r="W56" s="26"/>
      <c r="X56" s="26"/>
      <c r="Y56" s="28"/>
      <c r="Z56" s="29">
        <f t="shared" si="34"/>
        <v>44145.424292742362</v>
      </c>
      <c r="AA56" s="30">
        <f t="shared" si="35"/>
        <v>44145.424292742362</v>
      </c>
      <c r="AB56" s="26">
        <f t="shared" si="36"/>
        <v>576.18302581674652</v>
      </c>
      <c r="AC56" s="26">
        <f t="shared" si="37"/>
        <v>24.007626075697772</v>
      </c>
    </row>
    <row r="57" spans="1:29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2"/>
      <c r="O57" s="13"/>
      <c r="P57" s="13"/>
      <c r="Q57" s="8"/>
      <c r="R57" s="8"/>
      <c r="S57" s="9"/>
      <c r="T57" s="11"/>
      <c r="U57" s="11"/>
      <c r="V57" s="11"/>
      <c r="W57" s="11"/>
      <c r="X57" s="11"/>
      <c r="Y57" s="18"/>
      <c r="Z57" s="12"/>
      <c r="AA57" s="10"/>
      <c r="AB57" s="11"/>
      <c r="AC57" s="11"/>
    </row>
    <row r="58" spans="1:29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2"/>
      <c r="N58" s="2"/>
      <c r="O58" s="13"/>
      <c r="P58" s="13"/>
      <c r="Q58" s="8"/>
      <c r="R58" s="8"/>
      <c r="S58" s="9"/>
      <c r="T58" s="11"/>
      <c r="U58" s="11"/>
      <c r="V58" s="11"/>
      <c r="W58" s="11"/>
      <c r="X58" s="11"/>
      <c r="Y58" s="18"/>
      <c r="Z58" s="12"/>
      <c r="AA58" s="10"/>
      <c r="AB58" s="11"/>
      <c r="AC58" s="11"/>
    </row>
    <row r="59" spans="1:29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2"/>
      <c r="O59" s="13"/>
      <c r="P59" s="13"/>
      <c r="Q59" s="8"/>
      <c r="R59" s="8"/>
      <c r="S59" s="9"/>
      <c r="T59" s="11"/>
      <c r="U59" s="11"/>
      <c r="V59" s="11"/>
      <c r="W59" s="11"/>
      <c r="X59" s="11"/>
      <c r="Y59" s="18"/>
      <c r="Z59" s="12"/>
      <c r="AA59" s="10"/>
      <c r="AB59" s="11"/>
      <c r="AC59" s="11"/>
    </row>
    <row r="60" spans="1:29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2"/>
      <c r="N60" s="2"/>
      <c r="O60" s="13"/>
      <c r="P60" s="13"/>
      <c r="Q60" s="8"/>
      <c r="R60" s="8"/>
      <c r="S60" s="9"/>
      <c r="T60" s="11"/>
      <c r="U60" s="11"/>
      <c r="V60" s="11"/>
      <c r="W60" s="11"/>
      <c r="X60" s="11"/>
      <c r="Y60" s="18"/>
      <c r="Z60" s="12"/>
      <c r="AA60" s="10"/>
      <c r="AB60" s="11"/>
      <c r="AC60" s="11"/>
    </row>
    <row r="61" spans="1:29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2"/>
      <c r="N61" s="2"/>
      <c r="O61" s="13"/>
      <c r="P61" s="13"/>
      <c r="Q61" s="8"/>
      <c r="R61" s="8"/>
      <c r="S61" s="9"/>
      <c r="T61" s="11"/>
      <c r="U61" s="11"/>
      <c r="V61" s="11"/>
      <c r="W61" s="11"/>
      <c r="X61" s="11"/>
      <c r="Y61" s="18"/>
      <c r="Z61" s="12"/>
      <c r="AA61" s="10"/>
      <c r="AB61" s="11"/>
      <c r="AC61" s="11"/>
    </row>
    <row r="62" spans="1:29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2"/>
      <c r="N62" s="2"/>
      <c r="O62" s="13"/>
      <c r="P62" s="13"/>
      <c r="Q62" s="8"/>
      <c r="R62" s="8"/>
      <c r="S62" s="9"/>
      <c r="T62" s="11"/>
      <c r="U62" s="11"/>
      <c r="V62" s="11"/>
      <c r="W62" s="11"/>
      <c r="X62" s="11"/>
      <c r="Y62" s="18"/>
      <c r="Z62" s="12"/>
      <c r="AA62" s="10"/>
      <c r="AB62" s="11"/>
      <c r="AC62" s="11"/>
    </row>
    <row r="63" spans="1:29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2"/>
      <c r="N63" s="2"/>
      <c r="O63" s="13"/>
      <c r="P63" s="13"/>
      <c r="Q63" s="8"/>
      <c r="R63" s="8"/>
      <c r="S63" s="9"/>
      <c r="T63" s="11"/>
      <c r="U63" s="11"/>
      <c r="V63" s="11"/>
      <c r="W63" s="11"/>
      <c r="X63" s="11"/>
      <c r="Y63" s="18"/>
      <c r="Z63" s="12"/>
      <c r="AA63" s="10"/>
      <c r="AB63" s="11"/>
      <c r="AC63" s="11"/>
    </row>
    <row r="64" spans="1:29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2"/>
      <c r="N64" s="2"/>
      <c r="O64" s="13"/>
      <c r="P64" s="13"/>
      <c r="Q64" s="8"/>
      <c r="R64" s="8"/>
      <c r="S64" s="9"/>
      <c r="T64" s="11"/>
      <c r="U64" s="11"/>
      <c r="V64" s="11"/>
      <c r="W64" s="11"/>
      <c r="X64" s="11"/>
      <c r="Y64" s="18"/>
      <c r="Z64" s="12"/>
      <c r="AA64" s="10"/>
      <c r="AB64" s="11"/>
      <c r="AC64" s="11"/>
    </row>
    <row r="65" spans="3:31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2"/>
      <c r="N65" s="2"/>
      <c r="O65" s="13"/>
      <c r="P65" s="13"/>
      <c r="Q65" s="8"/>
      <c r="R65" s="8"/>
      <c r="S65" s="9"/>
      <c r="T65" s="11"/>
      <c r="U65" s="11"/>
      <c r="V65" s="11"/>
      <c r="W65" s="11"/>
      <c r="X65" s="11"/>
      <c r="Y65" s="18"/>
      <c r="Z65" s="12"/>
      <c r="AA65" s="10"/>
      <c r="AB65" s="11"/>
      <c r="AC65" s="11"/>
    </row>
    <row r="66" spans="3:31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2"/>
      <c r="N66" s="2"/>
      <c r="O66" s="13"/>
      <c r="P66" s="13"/>
      <c r="Q66" s="8"/>
      <c r="R66" s="8"/>
      <c r="S66" s="9"/>
      <c r="T66" s="11"/>
      <c r="U66" s="11"/>
      <c r="V66" s="11"/>
      <c r="W66" s="11"/>
      <c r="X66" s="11"/>
      <c r="Y66" s="18"/>
      <c r="Z66" s="12"/>
      <c r="AA66" s="10"/>
      <c r="AB66" s="11"/>
      <c r="AC66" s="11"/>
    </row>
    <row r="67" spans="3:31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2"/>
      <c r="N67" s="2"/>
      <c r="O67" s="13"/>
      <c r="P67" s="13"/>
      <c r="Q67" s="8"/>
      <c r="R67" s="8"/>
      <c r="S67" s="9"/>
      <c r="T67" s="11"/>
      <c r="U67" s="11"/>
      <c r="V67" s="11"/>
      <c r="W67" s="11"/>
      <c r="X67" s="11"/>
      <c r="Y67" s="18"/>
      <c r="Z67" s="12"/>
      <c r="AA67" s="10"/>
      <c r="AB67" s="11"/>
      <c r="AC67" s="11"/>
    </row>
    <row r="68" spans="3:31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2"/>
      <c r="N68" s="2"/>
      <c r="O68" s="13"/>
      <c r="P68" s="13"/>
      <c r="Q68" s="8"/>
      <c r="R68" s="8"/>
      <c r="S68" s="9"/>
      <c r="T68" s="11"/>
      <c r="U68" s="11"/>
      <c r="V68" s="11"/>
      <c r="W68" s="11"/>
      <c r="X68" s="11"/>
      <c r="Y68" s="18"/>
      <c r="Z68" s="12"/>
      <c r="AA68" s="10"/>
      <c r="AB68" s="11"/>
      <c r="AC68" s="11"/>
    </row>
    <row r="69" spans="3:31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2"/>
      <c r="N69" s="2"/>
      <c r="O69" s="13"/>
      <c r="P69" s="13"/>
      <c r="Q69" s="8"/>
      <c r="R69" s="8"/>
      <c r="S69" s="9"/>
      <c r="T69" s="11"/>
      <c r="U69" s="11"/>
      <c r="V69" s="11"/>
      <c r="W69" s="11"/>
      <c r="X69" s="11"/>
      <c r="Y69" s="18"/>
      <c r="Z69" s="12"/>
      <c r="AA69" s="10"/>
      <c r="AB69" s="11"/>
      <c r="AC69" s="11"/>
    </row>
    <row r="70" spans="3:31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2"/>
      <c r="N70" s="2"/>
      <c r="O70" s="13"/>
      <c r="P70" s="13"/>
      <c r="Q70" s="8"/>
      <c r="R70" s="8"/>
      <c r="S70" s="9"/>
      <c r="T70" s="11"/>
      <c r="U70" s="11"/>
      <c r="V70" s="11"/>
      <c r="W70" s="11"/>
      <c r="X70" s="11"/>
      <c r="Y70" s="18"/>
      <c r="Z70" s="12"/>
      <c r="AA70" s="10"/>
      <c r="AB70" s="11"/>
      <c r="AC70" s="11"/>
    </row>
    <row r="71" spans="3:31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2"/>
      <c r="N71" s="2"/>
      <c r="O71" s="13"/>
      <c r="P71" s="13"/>
      <c r="Q71" s="8"/>
      <c r="R71" s="8"/>
      <c r="S71" s="9"/>
      <c r="T71" s="11"/>
      <c r="U71" s="11"/>
      <c r="V71" s="11"/>
      <c r="W71" s="11"/>
      <c r="X71" s="11"/>
      <c r="Y71" s="18"/>
      <c r="Z71" s="12"/>
      <c r="AA71" s="10"/>
      <c r="AB71" s="11"/>
      <c r="AC71" s="11"/>
    </row>
    <row r="72" spans="3:31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2"/>
      <c r="N72" s="2"/>
      <c r="O72" s="13"/>
      <c r="P72" s="13"/>
      <c r="Q72" s="8"/>
      <c r="R72" s="8"/>
      <c r="S72" s="9"/>
      <c r="T72" s="11"/>
      <c r="U72" s="11"/>
      <c r="V72" s="11"/>
      <c r="W72" s="11"/>
      <c r="X72" s="11"/>
      <c r="Y72" s="18"/>
      <c r="Z72" s="12"/>
      <c r="AA72" s="10"/>
      <c r="AB72" s="11"/>
      <c r="AC72" s="11"/>
    </row>
    <row r="73" spans="3:31" x14ac:dyDescent="0.2">
      <c r="C73" s="1"/>
      <c r="D73" s="1"/>
      <c r="E73" s="19"/>
      <c r="F73" s="1"/>
      <c r="G73" s="19"/>
      <c r="H73" s="1"/>
      <c r="I73" s="1"/>
      <c r="J73" s="1"/>
      <c r="K73" s="1"/>
      <c r="L73" s="1"/>
      <c r="M73" s="2"/>
      <c r="N73" s="2"/>
      <c r="O73" s="13"/>
      <c r="P73" s="13"/>
      <c r="Q73" s="8"/>
      <c r="R73" s="8"/>
      <c r="S73" s="9"/>
      <c r="T73" s="11"/>
      <c r="U73" s="11"/>
      <c r="V73" s="11"/>
      <c r="W73" s="11"/>
      <c r="X73" s="11"/>
      <c r="Y73" s="18"/>
      <c r="Z73" s="12"/>
      <c r="AA73" s="10"/>
      <c r="AB73" s="11"/>
      <c r="AC73" s="11"/>
    </row>
    <row r="74" spans="3:31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2"/>
      <c r="N74" s="2"/>
      <c r="O74" s="13"/>
      <c r="P74" s="13"/>
      <c r="Q74" s="8"/>
      <c r="R74" s="8"/>
      <c r="S74" s="9"/>
      <c r="T74" s="11"/>
      <c r="U74" s="11"/>
      <c r="V74" s="11"/>
      <c r="W74" s="11"/>
      <c r="X74" s="11"/>
      <c r="Y74" s="18"/>
      <c r="Z74" s="12"/>
      <c r="AA74" s="10"/>
      <c r="AB74" s="11"/>
      <c r="AC74" s="11"/>
    </row>
    <row r="75" spans="3:31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2"/>
      <c r="N75" s="2"/>
      <c r="O75" s="13"/>
      <c r="P75" s="13"/>
      <c r="Q75" s="8"/>
      <c r="R75" s="8"/>
      <c r="S75" s="9"/>
      <c r="T75" s="11"/>
      <c r="U75" s="11"/>
      <c r="V75" s="11"/>
      <c r="W75" s="11"/>
      <c r="X75" s="11"/>
      <c r="Y75" s="18"/>
      <c r="Z75" s="12"/>
      <c r="AA75" s="10"/>
      <c r="AB75" s="11"/>
      <c r="AC75" s="11"/>
    </row>
    <row r="76" spans="3:31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2"/>
      <c r="N76" s="2"/>
      <c r="O76" s="13"/>
      <c r="P76" s="13"/>
      <c r="Q76" s="8"/>
      <c r="R76" s="8"/>
      <c r="S76" s="9"/>
      <c r="T76" s="11"/>
      <c r="U76" s="11"/>
      <c r="V76" s="11"/>
      <c r="W76" s="11"/>
      <c r="X76" s="11"/>
      <c r="Y76" s="18"/>
      <c r="Z76" s="12"/>
      <c r="AA76" s="10"/>
      <c r="AB76" s="11"/>
      <c r="AC76" s="11"/>
    </row>
    <row r="77" spans="3:31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2"/>
      <c r="N77" s="2"/>
      <c r="O77" s="13"/>
      <c r="P77" s="13"/>
      <c r="Q77" s="8"/>
      <c r="R77" s="8"/>
      <c r="S77" s="9"/>
      <c r="T77" s="11"/>
      <c r="U77" s="11"/>
      <c r="V77" s="11"/>
      <c r="W77" s="11"/>
      <c r="X77" s="11"/>
      <c r="Y77" s="18"/>
      <c r="Z77" s="12"/>
      <c r="AA77" s="10"/>
      <c r="AB77" s="11"/>
      <c r="AC77" s="11"/>
    </row>
    <row r="78" spans="3:31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2"/>
      <c r="N78" s="2"/>
      <c r="O78" s="13"/>
      <c r="P78" s="13"/>
      <c r="Q78" s="8"/>
      <c r="R78" s="8"/>
      <c r="S78" s="9"/>
      <c r="T78" s="11"/>
      <c r="U78" s="11"/>
      <c r="V78" s="11"/>
      <c r="W78" s="11"/>
      <c r="X78" s="11"/>
      <c r="Y78" s="18"/>
      <c r="Z78" s="12"/>
      <c r="AA78" s="10"/>
      <c r="AB78" s="11"/>
      <c r="AC78" s="11"/>
    </row>
    <row r="79" spans="3:31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2"/>
      <c r="N79" s="2"/>
      <c r="O79" s="13"/>
      <c r="P79" s="13"/>
      <c r="Q79" s="8"/>
      <c r="R79" s="8"/>
      <c r="S79" s="9"/>
      <c r="T79" s="11"/>
      <c r="U79" s="11"/>
      <c r="V79" s="11"/>
      <c r="W79" s="11"/>
      <c r="X79" s="11"/>
      <c r="Y79" s="18"/>
      <c r="Z79" s="12"/>
      <c r="AA79" s="10"/>
      <c r="AB79" s="11"/>
      <c r="AC79" s="11"/>
    </row>
    <row r="80" spans="3:31" x14ac:dyDescent="0.2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31"/>
      <c r="N80" s="31"/>
      <c r="O80" s="32"/>
      <c r="P80" s="32"/>
      <c r="Q80" s="33"/>
      <c r="R80" s="33"/>
      <c r="S80" s="9"/>
      <c r="T80" s="11"/>
      <c r="U80" s="11"/>
      <c r="V80" s="11"/>
      <c r="W80" s="11"/>
      <c r="X80" s="11"/>
      <c r="Y80" s="34"/>
      <c r="Z80" s="12"/>
      <c r="AA80" s="10"/>
      <c r="AB80" s="11"/>
      <c r="AC80" s="11"/>
      <c r="AD80" s="4"/>
      <c r="AE80" s="4"/>
    </row>
    <row r="81" spans="3:31" x14ac:dyDescent="0.2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31"/>
      <c r="N81" s="31"/>
      <c r="O81" s="32"/>
      <c r="P81" s="32"/>
      <c r="Q81" s="33"/>
      <c r="R81" s="33"/>
      <c r="S81" s="9"/>
      <c r="T81" s="11"/>
      <c r="U81" s="11"/>
      <c r="V81" s="11"/>
      <c r="W81" s="11"/>
      <c r="X81" s="11"/>
      <c r="Y81" s="34"/>
      <c r="Z81" s="12"/>
      <c r="AA81" s="10"/>
      <c r="AB81" s="11"/>
      <c r="AC81" s="11"/>
      <c r="AD81" s="4"/>
      <c r="AE81" s="4"/>
    </row>
    <row r="82" spans="3:31" x14ac:dyDescent="0.2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31"/>
      <c r="N82" s="31"/>
      <c r="O82" s="32"/>
      <c r="P82" s="32"/>
      <c r="Q82" s="33"/>
      <c r="R82" s="33"/>
      <c r="S82" s="9"/>
      <c r="T82" s="11"/>
      <c r="U82" s="11"/>
      <c r="V82" s="11"/>
      <c r="W82" s="11"/>
      <c r="X82" s="11"/>
      <c r="Y82" s="34"/>
      <c r="Z82" s="12"/>
      <c r="AA82" s="10"/>
      <c r="AB82" s="11"/>
      <c r="AC82" s="11"/>
      <c r="AD82" s="4"/>
      <c r="AE82" s="4"/>
    </row>
    <row r="83" spans="3:31" x14ac:dyDescent="0.2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31"/>
      <c r="N83" s="31"/>
      <c r="O83" s="32"/>
      <c r="P83" s="32"/>
      <c r="Q83" s="33"/>
      <c r="R83" s="33"/>
      <c r="S83" s="9"/>
      <c r="T83" s="11"/>
      <c r="U83" s="11"/>
      <c r="V83" s="11"/>
      <c r="W83" s="11"/>
      <c r="X83" s="11"/>
      <c r="Y83" s="34"/>
      <c r="Z83" s="12"/>
      <c r="AA83" s="10"/>
      <c r="AB83" s="11"/>
      <c r="AC83" s="11"/>
      <c r="AD83" s="4"/>
      <c r="AE83" s="4"/>
    </row>
    <row r="84" spans="3:31" x14ac:dyDescent="0.2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31"/>
      <c r="N84" s="31"/>
      <c r="O84" s="32"/>
      <c r="P84" s="32"/>
      <c r="Q84" s="33"/>
      <c r="R84" s="33"/>
      <c r="S84" s="9"/>
      <c r="T84" s="11"/>
      <c r="U84" s="11"/>
      <c r="V84" s="11"/>
      <c r="W84" s="11"/>
      <c r="X84" s="11"/>
      <c r="Y84" s="34"/>
      <c r="Z84" s="12"/>
      <c r="AA84" s="10"/>
      <c r="AB84" s="11"/>
      <c r="AC84" s="11"/>
      <c r="AD84" s="4"/>
      <c r="AE84" s="4"/>
    </row>
    <row r="85" spans="3:31" s="4" customFormat="1" x14ac:dyDescent="0.2">
      <c r="C85" s="3"/>
      <c r="D85" s="3"/>
      <c r="E85" s="3"/>
      <c r="F85" s="3"/>
      <c r="G85" s="14"/>
      <c r="H85" s="3"/>
      <c r="I85" s="3"/>
      <c r="J85" s="14"/>
      <c r="K85" s="3"/>
      <c r="L85" s="19"/>
      <c r="M85" s="31"/>
      <c r="N85" s="31"/>
      <c r="O85" s="32"/>
      <c r="P85" s="32"/>
      <c r="Q85" s="33"/>
      <c r="R85" s="33"/>
      <c r="S85" s="9"/>
      <c r="T85" s="11"/>
      <c r="U85" s="11"/>
      <c r="V85" s="11"/>
      <c r="W85" s="11"/>
      <c r="X85" s="11"/>
      <c r="Y85" s="34"/>
      <c r="Z85" s="12"/>
      <c r="AA85" s="10"/>
      <c r="AB85" s="11"/>
      <c r="AC85" s="11"/>
    </row>
    <row r="86" spans="3:31" s="4" customFormat="1" x14ac:dyDescent="0.2">
      <c r="C86" s="3"/>
      <c r="D86" s="3"/>
      <c r="E86" s="3"/>
      <c r="F86" s="3"/>
      <c r="G86" s="14"/>
      <c r="H86" s="3"/>
      <c r="I86" s="3"/>
      <c r="J86" s="14"/>
      <c r="K86" s="3"/>
      <c r="L86" s="19"/>
      <c r="M86" s="31"/>
      <c r="N86" s="31"/>
      <c r="O86" s="32"/>
      <c r="P86" s="32"/>
      <c r="Q86" s="33"/>
      <c r="R86" s="33"/>
      <c r="S86" s="9"/>
      <c r="T86" s="11"/>
      <c r="U86" s="11"/>
      <c r="V86" s="11"/>
      <c r="W86" s="11"/>
      <c r="X86" s="11"/>
      <c r="Y86" s="34"/>
      <c r="Z86" s="12"/>
      <c r="AA86" s="10"/>
      <c r="AB86" s="11"/>
      <c r="AC86" s="11"/>
    </row>
    <row r="87" spans="3:31" s="4" customFormat="1" x14ac:dyDescent="0.2">
      <c r="C87" s="3"/>
      <c r="D87" s="3"/>
      <c r="E87" s="3"/>
      <c r="F87" s="3"/>
      <c r="G87" s="14"/>
      <c r="H87" s="3"/>
      <c r="I87" s="3"/>
      <c r="J87" s="14"/>
      <c r="K87" s="3"/>
      <c r="L87" s="3"/>
      <c r="M87" s="31"/>
      <c r="N87" s="31"/>
      <c r="O87" s="32"/>
      <c r="P87" s="32"/>
      <c r="Q87" s="33"/>
      <c r="R87" s="33"/>
      <c r="S87" s="9"/>
      <c r="T87" s="11"/>
      <c r="U87" s="11"/>
      <c r="V87" s="11"/>
      <c r="W87" s="11"/>
      <c r="X87" s="11"/>
      <c r="Y87" s="34"/>
      <c r="Z87" s="12"/>
      <c r="AA87" s="10"/>
      <c r="AB87" s="11"/>
      <c r="AC87" s="11"/>
    </row>
    <row r="88" spans="3:31" s="4" customFormat="1" x14ac:dyDescent="0.2">
      <c r="C88" s="3"/>
      <c r="D88" s="3"/>
      <c r="E88" s="3"/>
      <c r="F88" s="3"/>
      <c r="G88" s="14"/>
      <c r="H88" s="3"/>
      <c r="I88" s="3"/>
      <c r="J88" s="14"/>
      <c r="K88" s="3"/>
      <c r="M88" s="31"/>
      <c r="N88" s="31"/>
      <c r="O88" s="32"/>
      <c r="P88" s="32"/>
      <c r="Q88" s="33"/>
      <c r="R88" s="33"/>
      <c r="U88" s="11"/>
      <c r="V88" s="11"/>
    </row>
    <row r="89" spans="3:31" x14ac:dyDescent="0.2">
      <c r="C89" s="19"/>
      <c r="D89" s="19"/>
      <c r="E89" s="19"/>
      <c r="F89" s="19"/>
      <c r="G89" s="36"/>
      <c r="H89" s="19"/>
      <c r="I89" s="19"/>
      <c r="J89" s="36"/>
      <c r="K89" s="19"/>
      <c r="L89" s="19"/>
      <c r="M89" s="31"/>
      <c r="N89" s="31"/>
      <c r="O89" s="32"/>
      <c r="P89" s="32"/>
      <c r="Q89" s="33"/>
      <c r="R89" s="33"/>
      <c r="S89" s="9"/>
      <c r="T89" s="11"/>
      <c r="U89" s="11"/>
      <c r="V89" s="11"/>
      <c r="W89" s="11"/>
      <c r="X89" s="11"/>
      <c r="Y89" s="19"/>
      <c r="Z89" s="10"/>
      <c r="AA89" s="10"/>
      <c r="AB89" s="11"/>
      <c r="AC89" s="11"/>
      <c r="AD89" s="4"/>
      <c r="AE89" s="4"/>
    </row>
    <row r="90" spans="3:31" x14ac:dyDescent="0.2">
      <c r="C90" s="19"/>
      <c r="D90" s="19"/>
      <c r="E90" s="19"/>
      <c r="F90" s="19"/>
      <c r="G90" s="36"/>
      <c r="H90" s="19"/>
      <c r="I90" s="19"/>
      <c r="J90" s="36"/>
      <c r="K90" s="19"/>
      <c r="L90" s="19"/>
      <c r="M90" s="31"/>
      <c r="N90" s="31"/>
      <c r="O90" s="32"/>
      <c r="P90" s="32"/>
      <c r="Q90" s="33"/>
      <c r="R90" s="33"/>
      <c r="S90" s="9"/>
      <c r="T90" s="11"/>
      <c r="U90" s="11"/>
      <c r="V90" s="11"/>
      <c r="W90" s="11"/>
      <c r="X90" s="11"/>
      <c r="Y90" s="19"/>
      <c r="Z90" s="10"/>
      <c r="AA90" s="10"/>
      <c r="AB90" s="11"/>
      <c r="AC90" s="11"/>
      <c r="AD90" s="4"/>
      <c r="AE90" s="4"/>
    </row>
    <row r="91" spans="3:31" x14ac:dyDescent="0.2">
      <c r="C91" s="1"/>
      <c r="D91" s="1"/>
      <c r="E91" s="1"/>
      <c r="F91" s="1"/>
      <c r="G91" s="15"/>
      <c r="H91" s="1"/>
      <c r="I91" s="1"/>
      <c r="J91" s="15"/>
      <c r="K91" s="1"/>
      <c r="L91" s="1"/>
      <c r="M91" s="2"/>
      <c r="N91" s="2"/>
      <c r="O91" s="13"/>
      <c r="P91" s="13"/>
      <c r="Q91" s="8"/>
      <c r="R91" s="8"/>
      <c r="S91" s="9"/>
      <c r="T91" s="11"/>
      <c r="U91" s="11"/>
      <c r="V91" s="11"/>
      <c r="W91" s="11"/>
      <c r="X91" s="11"/>
      <c r="Y91" s="1"/>
      <c r="Z91" s="10"/>
      <c r="AA91" s="10"/>
      <c r="AB91" s="11"/>
      <c r="AC91" s="11"/>
    </row>
    <row r="92" spans="3:31" s="4" customFormat="1" x14ac:dyDescent="0.2">
      <c r="C92" s="3"/>
      <c r="D92" s="3"/>
      <c r="E92" s="3"/>
      <c r="F92" s="3"/>
      <c r="G92" s="14"/>
      <c r="H92" s="3"/>
      <c r="I92" s="3"/>
      <c r="J92" s="14"/>
      <c r="K92" s="3"/>
      <c r="L92" s="3"/>
      <c r="M92" s="2"/>
      <c r="N92" s="2"/>
      <c r="O92" s="13"/>
      <c r="P92" s="13"/>
      <c r="Q92" s="8"/>
      <c r="R92" s="8"/>
      <c r="S92" s="9"/>
      <c r="T92" s="11"/>
      <c r="U92" s="11"/>
      <c r="V92" s="11"/>
      <c r="W92" s="11"/>
      <c r="X92" s="11"/>
      <c r="Y92" s="9"/>
      <c r="Z92" s="10"/>
      <c r="AA92" s="10"/>
      <c r="AB92" s="11"/>
      <c r="AC92" s="11"/>
    </row>
  </sheetData>
  <sortState xmlns:xlrd2="http://schemas.microsoft.com/office/spreadsheetml/2017/richdata2" ref="A4:AE54">
    <sortCondition ref="A4:A54"/>
  </sortState>
  <conditionalFormatting sqref="E4:E25 E45:E54">
    <cfRule type="expression" dxfId="7" priority="11" stopIfTrue="1">
      <formula>AND(COUNTIF($C$2:$C$52, E4)&gt;1,NOT(ISBLANK(E4)))</formula>
    </cfRule>
  </conditionalFormatting>
  <conditionalFormatting sqref="E26:E39">
    <cfRule type="expression" dxfId="6" priority="10" stopIfTrue="1">
      <formula>AND(COUNTIF($C$2:$C$52, E26)&gt;1,NOT(ISBLANK(E26)))</formula>
    </cfRule>
  </conditionalFormatting>
  <conditionalFormatting sqref="E40:E44">
    <cfRule type="expression" dxfId="5" priority="9" stopIfTrue="1">
      <formula>AND(COUNTIF($C$2:$C$52, E40)&gt;1,NOT(ISBLANK(E40)))</formula>
    </cfRule>
  </conditionalFormatting>
  <conditionalFormatting sqref="G13:G22 J13:J22">
    <cfRule type="cellIs" dxfId="4" priority="6" stopIfTrue="1" operator="equal">
      <formula>""""""</formula>
    </cfRule>
    <cfRule type="cellIs" dxfId="3" priority="7" stopIfTrue="1" operator="equal">
      <formula>""""""</formula>
    </cfRule>
  </conditionalFormatting>
  <conditionalFormatting sqref="L13:L22">
    <cfRule type="cellIs" dxfId="2" priority="2" stopIfTrue="1" operator="equal">
      <formula>""""""</formula>
    </cfRule>
    <cfRule type="cellIs" dxfId="1" priority="3" stopIfTrue="1" operator="equal">
      <formula>""""""</formula>
    </cfRule>
  </conditionalFormatting>
  <conditionalFormatting sqref="J4:J54 G4:G54 L4:L54">
    <cfRule type="expression" dxfId="0" priority="12" stopIfTrue="1">
      <formula>AND(COUNTIF(#REF!, G4)+COUNTIF($K$1:$K$56, G4)+COUNTIF($L$1:$L$56, G4)+COUNTIF(#REF!, G4)+COUNTIF(#REF!, G4)+COUNTIF(#REF!, G4)+COUNTIF($H$57:$L$65555, G4)+COUNTIF(#REF!, G4)+COUNTIF($I$1:$I$56, G4)+COUNTIF($H$1:$H$1, G4)+COUNTIF($H$55:$H$56, G4)&gt;1,NOT(ISBLANK(G4)))</formula>
    </cfRule>
  </conditionalFormatting>
  <dataValidations disablePrompts="1" count="1">
    <dataValidation allowBlank="1" showInputMessage="1" showErrorMessage="1" sqref="L4:L8" xr:uid="{44629250-EBA3-B343-9BE5-FE78CA30507A}"/>
  </dataValidations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2"/>
  <sheetViews>
    <sheetView showRuler="0" workbookViewId="0">
      <selection activeCell="J44" sqref="J44"/>
    </sheetView>
  </sheetViews>
  <sheetFormatPr baseColWidth="10" defaultRowHeight="16" x14ac:dyDescent="0.2"/>
  <cols>
    <col min="1" max="1" width="19.1640625" customWidth="1"/>
    <col min="2" max="2" width="18" customWidth="1"/>
    <col min="3" max="3" width="18.33203125" customWidth="1"/>
  </cols>
  <sheetData>
    <row r="1" spans="1:3" s="17" customFormat="1" ht="32" x14ac:dyDescent="0.2">
      <c r="A1" s="5" t="e">
        <f>#REF!</f>
        <v>#REF!</v>
      </c>
      <c r="B1" s="5" t="e">
        <f>#REF!</f>
        <v>#REF!</v>
      </c>
      <c r="C1" s="5" t="e">
        <f>#REF!</f>
        <v>#REF!</v>
      </c>
    </row>
    <row r="2" spans="1:3" x14ac:dyDescent="0.2">
      <c r="A2" s="38" t="str">
        <f>Plan!C4</f>
        <v>G01</v>
      </c>
      <c r="B2" s="31">
        <f>Plan!M4</f>
        <v>-4.4955999999999996</v>
      </c>
      <c r="C2" s="16">
        <f>-Plan!N4</f>
        <v>104.80721666666666</v>
      </c>
    </row>
    <row r="3" spans="1:3" x14ac:dyDescent="0.2">
      <c r="A3" s="38" t="str">
        <f>Plan!C5</f>
        <v>G02</v>
      </c>
      <c r="B3" s="31">
        <v>-4.5739000000000001</v>
      </c>
      <c r="C3" s="16">
        <f>-Plan!N5</f>
        <v>104.8155</v>
      </c>
    </row>
    <row r="4" spans="1:3" x14ac:dyDescent="0.2">
      <c r="A4" s="38" t="str">
        <f>Plan!C6</f>
        <v>G03</v>
      </c>
      <c r="B4" s="31">
        <v>-4.6724333333333332</v>
      </c>
      <c r="C4" s="16">
        <f>-Plan!N6</f>
        <v>104.84141666666666</v>
      </c>
    </row>
    <row r="5" spans="1:3" x14ac:dyDescent="0.2">
      <c r="A5" s="38" t="str">
        <f>Plan!C7</f>
        <v>G04</v>
      </c>
      <c r="B5" s="31">
        <v>-4.5503166666666663</v>
      </c>
      <c r="C5" s="16">
        <f>-Plan!N7</f>
        <v>104.85991666666666</v>
      </c>
    </row>
    <row r="6" spans="1:3" x14ac:dyDescent="0.2">
      <c r="A6" s="38" t="str">
        <f>Plan!C8</f>
        <v>G05</v>
      </c>
      <c r="B6" s="31">
        <v>-4.5518000000000001</v>
      </c>
      <c r="C6" s="16">
        <f>-Plan!N8</f>
        <v>104.90426666666667</v>
      </c>
    </row>
    <row r="7" spans="1:3" x14ac:dyDescent="0.2">
      <c r="A7" s="38" t="str">
        <f>Plan!C9</f>
        <v>G06</v>
      </c>
      <c r="B7" s="31">
        <v>-4.4598333333333331</v>
      </c>
      <c r="C7" s="16">
        <f>-Plan!N9</f>
        <v>104.91374999999999</v>
      </c>
    </row>
    <row r="8" spans="1:3" x14ac:dyDescent="0.2">
      <c r="A8" s="38" t="str">
        <f>Plan!C10</f>
        <v>G07</v>
      </c>
      <c r="B8" s="31">
        <v>-4.6402333333333337</v>
      </c>
      <c r="C8" s="16">
        <f>-Plan!N10</f>
        <v>104.94806666666666</v>
      </c>
    </row>
    <row r="9" spans="1:3" x14ac:dyDescent="0.2">
      <c r="A9" s="38" t="str">
        <f>Plan!C11</f>
        <v>G08</v>
      </c>
      <c r="B9" s="31">
        <v>-4.5327000000000002</v>
      </c>
      <c r="C9" s="16">
        <f>-Plan!N11</f>
        <v>104.94846666666666</v>
      </c>
    </row>
    <row r="10" spans="1:3" x14ac:dyDescent="0.2">
      <c r="A10" s="38" t="str">
        <f>Plan!C12</f>
        <v>G09</v>
      </c>
      <c r="B10" s="31">
        <v>-4.5415333333333336</v>
      </c>
      <c r="C10" s="16">
        <f>-Plan!N12</f>
        <v>104.99306666666666</v>
      </c>
    </row>
    <row r="11" spans="1:3" x14ac:dyDescent="0.2">
      <c r="A11" s="38" t="str">
        <f>Plan!C13</f>
        <v>G10</v>
      </c>
      <c r="B11" s="31">
        <v>-4.4444833333333333</v>
      </c>
      <c r="C11" s="16">
        <f>-Plan!N13</f>
        <v>105.01986666666667</v>
      </c>
    </row>
    <row r="12" spans="1:3" x14ac:dyDescent="0.2">
      <c r="A12" s="38" t="str">
        <f>Plan!C14</f>
        <v>A2_01</v>
      </c>
      <c r="B12" s="31">
        <v>-4.545093333333333</v>
      </c>
      <c r="C12" s="16">
        <f>-Plan!N14</f>
        <v>105.98014499999999</v>
      </c>
    </row>
    <row r="13" spans="1:3" x14ac:dyDescent="0.2">
      <c r="A13" s="38" t="str">
        <f>Plan!C15</f>
        <v>A2_02</v>
      </c>
      <c r="B13" s="31">
        <v>-4.5400964999999998</v>
      </c>
      <c r="C13" s="16">
        <f>-Plan!N15</f>
        <v>105.97652266666667</v>
      </c>
    </row>
    <row r="14" spans="1:3" x14ac:dyDescent="0.2">
      <c r="A14" s="38" t="str">
        <f>Plan!C16</f>
        <v>A2_03</v>
      </c>
      <c r="B14" s="31">
        <v>-4.5345938333333331</v>
      </c>
      <c r="C14" s="16">
        <f>-Plan!N16</f>
        <v>105.97209716666667</v>
      </c>
    </row>
    <row r="15" spans="1:3" x14ac:dyDescent="0.2">
      <c r="A15" s="38" t="str">
        <f>Plan!C17</f>
        <v>A2_04</v>
      </c>
      <c r="B15" s="31">
        <v>-4.5464108333333328</v>
      </c>
      <c r="C15" s="16">
        <f>-Plan!N17</f>
        <v>105.97393516666666</v>
      </c>
    </row>
    <row r="16" spans="1:3" x14ac:dyDescent="0.2">
      <c r="A16" s="38" t="str">
        <f>Plan!C18</f>
        <v>A2_05</v>
      </c>
      <c r="B16" s="31">
        <v>-4.5442358333333335</v>
      </c>
      <c r="C16" s="16">
        <f>-Plan!N18</f>
        <v>105.96945016666666</v>
      </c>
    </row>
    <row r="17" spans="1:3" x14ac:dyDescent="0.2">
      <c r="A17" s="38" t="str">
        <f>Plan!C19</f>
        <v>A2_06</v>
      </c>
      <c r="B17" s="31">
        <v>-4.5442711666666664</v>
      </c>
      <c r="C17" s="16">
        <f>-Plan!N19</f>
        <v>105.96616966666667</v>
      </c>
    </row>
    <row r="18" spans="1:3" x14ac:dyDescent="0.2">
      <c r="A18" s="38" t="str">
        <f>Plan!C20</f>
        <v>A2_07</v>
      </c>
      <c r="B18" s="31">
        <v>-4.5426485000000003</v>
      </c>
      <c r="C18" s="16">
        <f>-Plan!N20</f>
        <v>105.962192</v>
      </c>
    </row>
    <row r="19" spans="1:3" x14ac:dyDescent="0.2">
      <c r="A19" s="38" t="str">
        <f>Plan!C21</f>
        <v>A2_08</v>
      </c>
      <c r="B19" s="31">
        <v>-4.5444601666666671</v>
      </c>
      <c r="C19" s="16">
        <f>-Plan!N21</f>
        <v>105.96305333333333</v>
      </c>
    </row>
    <row r="20" spans="1:3" x14ac:dyDescent="0.2">
      <c r="A20" s="38" t="str">
        <f>Plan!C22</f>
        <v>A2_09</v>
      </c>
      <c r="B20" s="31">
        <v>-4.5484713333333335</v>
      </c>
      <c r="C20" s="16">
        <f>-Plan!N22</f>
        <v>105.965902</v>
      </c>
    </row>
    <row r="21" spans="1:3" x14ac:dyDescent="0.2">
      <c r="A21" s="38" t="str">
        <f>Plan!C23</f>
        <v>A2_10</v>
      </c>
      <c r="B21" s="31">
        <v>-4.5494518333333334</v>
      </c>
      <c r="C21" s="16">
        <f>-Plan!N23</f>
        <v>105.97026083333333</v>
      </c>
    </row>
    <row r="22" spans="1:3" x14ac:dyDescent="0.2">
      <c r="A22" s="38" t="str">
        <f>Plan!C24</f>
        <v>A3_01</v>
      </c>
      <c r="B22" s="31">
        <v>-4.5970481666666672</v>
      </c>
      <c r="C22" s="16">
        <f>-Plan!N24</f>
        <v>105.93755683333333</v>
      </c>
    </row>
    <row r="23" spans="1:3" x14ac:dyDescent="0.2">
      <c r="A23" s="38" t="str">
        <f>Plan!C25</f>
        <v>A3_02</v>
      </c>
      <c r="B23" s="31">
        <v>-4.6012786666666665</v>
      </c>
      <c r="C23" s="16">
        <f>-Plan!N25</f>
        <v>105.94222866666667</v>
      </c>
    </row>
    <row r="24" spans="1:3" x14ac:dyDescent="0.2">
      <c r="A24" s="38" t="str">
        <f>Plan!C26</f>
        <v>A3_03</v>
      </c>
      <c r="B24" s="31">
        <v>-4.6057706666666665</v>
      </c>
      <c r="C24" s="16">
        <f>-Plan!N26</f>
        <v>105.94736216666666</v>
      </c>
    </row>
    <row r="25" spans="1:3" x14ac:dyDescent="0.2">
      <c r="A25" s="38" t="str">
        <f>Plan!C27</f>
        <v>A3_04</v>
      </c>
      <c r="B25" s="31">
        <v>-4.5944071666666666</v>
      </c>
      <c r="C25" s="16">
        <f>-Plan!N27</f>
        <v>105.94389733333334</v>
      </c>
    </row>
    <row r="26" spans="1:3" x14ac:dyDescent="0.2">
      <c r="A26" s="38" t="str">
        <f>Plan!C28</f>
        <v>A3_05</v>
      </c>
      <c r="B26" s="31">
        <v>-4.5956668333333335</v>
      </c>
      <c r="C26" s="16">
        <f>-Plan!N28</f>
        <v>105.9484475</v>
      </c>
    </row>
    <row r="27" spans="1:3" x14ac:dyDescent="0.2">
      <c r="A27" s="38" t="str">
        <f>Plan!C29</f>
        <v>A3_06</v>
      </c>
      <c r="B27" s="31">
        <v>-4.5952106666666666</v>
      </c>
      <c r="C27" s="16">
        <f>-Plan!N29</f>
        <v>105.95146083333333</v>
      </c>
    </row>
    <row r="28" spans="1:3" x14ac:dyDescent="0.2">
      <c r="A28" s="38" t="str">
        <f>Plan!C30</f>
        <v>A3_07</v>
      </c>
      <c r="B28" s="31">
        <v>-4.5962160000000001</v>
      </c>
      <c r="C28" s="16">
        <f>-Plan!N30</f>
        <v>105.95586366666667</v>
      </c>
    </row>
    <row r="29" spans="1:3" x14ac:dyDescent="0.2">
      <c r="A29" s="38" t="str">
        <f>Plan!C31</f>
        <v>A3_08</v>
      </c>
      <c r="B29" s="31">
        <v>-4.5945301666666669</v>
      </c>
      <c r="C29" s="16">
        <f>-Plan!N31</f>
        <v>105.954947</v>
      </c>
    </row>
    <row r="30" spans="1:3" x14ac:dyDescent="0.2">
      <c r="A30" s="38" t="str">
        <f>Plan!C32</f>
        <v>A3_09</v>
      </c>
      <c r="B30" s="31">
        <v>-4.5907746666666664</v>
      </c>
      <c r="C30" s="16">
        <f>-Plan!N32</f>
        <v>105.95132183333334</v>
      </c>
    </row>
    <row r="31" spans="1:3" x14ac:dyDescent="0.2">
      <c r="A31" s="38" t="str">
        <f>Plan!C33</f>
        <v>A3_10</v>
      </c>
      <c r="B31" s="31">
        <v>-4.590859833333333</v>
      </c>
      <c r="C31" s="16">
        <f>-Plan!N33</f>
        <v>105.9466815</v>
      </c>
    </row>
    <row r="32" spans="1:3" x14ac:dyDescent="0.2">
      <c r="A32" s="38" t="str">
        <f>Plan!C34</f>
        <v>A1_01</v>
      </c>
      <c r="B32" s="31">
        <v>-4.5854844999999997</v>
      </c>
      <c r="C32" s="16">
        <f>-Plan!N34</f>
        <v>105.89105566666667</v>
      </c>
    </row>
    <row r="33" spans="1:3" x14ac:dyDescent="0.2">
      <c r="A33" s="38" t="str">
        <f>Plan!C35</f>
        <v>A1_02</v>
      </c>
      <c r="B33" s="31">
        <v>-4.5913861666666662</v>
      </c>
      <c r="C33" s="16">
        <f>-Plan!N35</f>
        <v>105.8924435</v>
      </c>
    </row>
    <row r="34" spans="1:3" x14ac:dyDescent="0.2">
      <c r="A34" s="38" t="str">
        <f>Plan!C36</f>
        <v>A1_03</v>
      </c>
      <c r="B34" s="31">
        <v>-4.5977456666666665</v>
      </c>
      <c r="C34" s="16">
        <f>-Plan!N36</f>
        <v>105.89441866666667</v>
      </c>
    </row>
    <row r="35" spans="1:3" x14ac:dyDescent="0.2">
      <c r="A35" s="38" t="str">
        <f>Plan!C37</f>
        <v>A1_04</v>
      </c>
      <c r="B35" s="31">
        <v>-4.5862156666666669</v>
      </c>
      <c r="C35" s="16">
        <f>-Plan!N37</f>
        <v>105.89728466666666</v>
      </c>
    </row>
    <row r="36" spans="1:3" x14ac:dyDescent="0.2">
      <c r="A36" s="38" t="str">
        <f>Plan!C38</f>
        <v>A1_05</v>
      </c>
      <c r="B36" s="31">
        <v>-4.5897121666666667</v>
      </c>
      <c r="C36" s="16">
        <f>-Plan!N38</f>
        <v>105.90082233333334</v>
      </c>
    </row>
    <row r="37" spans="1:3" x14ac:dyDescent="0.2">
      <c r="A37" s="38" t="str">
        <f>Plan!C39</f>
        <v>A1_06</v>
      </c>
      <c r="B37" s="31">
        <v>-4.5909955</v>
      </c>
      <c r="C37" s="16">
        <f>-Plan!N39</f>
        <v>105.90373150000001</v>
      </c>
    </row>
    <row r="38" spans="1:3" x14ac:dyDescent="0.2">
      <c r="A38" s="38" t="str">
        <f>Plan!C40</f>
        <v>A1_10</v>
      </c>
      <c r="B38" s="31">
        <v>-4.5849849999999996</v>
      </c>
      <c r="C38" s="16">
        <f>-Plan!N40</f>
        <v>105.901685</v>
      </c>
    </row>
    <row r="39" spans="1:3" x14ac:dyDescent="0.2">
      <c r="A39" s="38" t="str">
        <f>Plan!C41</f>
        <v>A1_07</v>
      </c>
      <c r="B39" s="31">
        <v>-4.5937231666666669</v>
      </c>
      <c r="C39" s="16">
        <f>-Plan!N41</f>
        <v>105.90667833333333</v>
      </c>
    </row>
    <row r="40" spans="1:3" x14ac:dyDescent="0.2">
      <c r="A40" s="38" t="str">
        <f>Plan!C42</f>
        <v>A1_08</v>
      </c>
      <c r="B40" s="31">
        <v>-4.5918653333333337</v>
      </c>
      <c r="C40" s="16">
        <f>-Plan!N42</f>
        <v>105.90682216666667</v>
      </c>
    </row>
    <row r="41" spans="1:3" x14ac:dyDescent="0.2">
      <c r="A41" s="38" t="str">
        <f>Plan!C43</f>
        <v>A1_09</v>
      </c>
      <c r="B41" s="31">
        <v>-4.5870424999999999</v>
      </c>
      <c r="C41" s="16">
        <f>-Plan!N43</f>
        <v>105.90545066666667</v>
      </c>
    </row>
    <row r="42" spans="1:3" x14ac:dyDescent="0.2">
      <c r="A42" s="38" t="str">
        <f>Plan!C44</f>
        <v>G14</v>
      </c>
      <c r="B42" s="31">
        <v>-4.6198166666666669</v>
      </c>
      <c r="C42" s="16">
        <f>-Plan!N44</f>
        <v>106.01045000000001</v>
      </c>
    </row>
    <row r="43" spans="1:3" x14ac:dyDescent="0.2">
      <c r="A43" s="38" t="str">
        <f>Plan!C45</f>
        <v>G15</v>
      </c>
      <c r="B43" s="31">
        <v>-4.570216666666667</v>
      </c>
      <c r="C43" s="16">
        <f>-Plan!N45</f>
        <v>105.94823333333333</v>
      </c>
    </row>
    <row r="44" spans="1:3" x14ac:dyDescent="0.2">
      <c r="A44" s="38" t="str">
        <f>Plan!C46</f>
        <v>G16</v>
      </c>
      <c r="B44" s="31">
        <v>-4.5302333333333333</v>
      </c>
      <c r="C44" s="16">
        <f>-Plan!N46</f>
        <v>105.87061666666666</v>
      </c>
    </row>
    <row r="45" spans="1:3" x14ac:dyDescent="0.2">
      <c r="A45" s="38" t="str">
        <f>Plan!C47</f>
        <v>G13</v>
      </c>
      <c r="B45" s="31">
        <v>-4.5595333333333334</v>
      </c>
      <c r="C45" s="16">
        <f>-Plan!N47</f>
        <v>106.01541666666667</v>
      </c>
    </row>
    <row r="46" spans="1:3" x14ac:dyDescent="0.2">
      <c r="A46" s="38" t="str">
        <f>Plan!C48</f>
        <v>G17</v>
      </c>
      <c r="B46" s="31">
        <v>-4.4737816666666665</v>
      </c>
      <c r="C46" s="16">
        <f>-Plan!N48</f>
        <v>105.08296666666666</v>
      </c>
    </row>
    <row r="47" spans="1:3" x14ac:dyDescent="0.2">
      <c r="A47" s="38" t="str">
        <f>Plan!C49</f>
        <v>G18</v>
      </c>
      <c r="B47" s="31">
        <v>-4.6208499999999999</v>
      </c>
      <c r="C47" s="16">
        <f>-Plan!N49</f>
        <v>105.05423333333333</v>
      </c>
    </row>
    <row r="48" spans="1:3" x14ac:dyDescent="0.2">
      <c r="A48" s="38" t="str">
        <f>Plan!C50</f>
        <v>G19</v>
      </c>
      <c r="B48" s="31">
        <v>-4.5543166666666668</v>
      </c>
      <c r="C48" s="16">
        <f>-Plan!N50</f>
        <v>105.02961666666667</v>
      </c>
    </row>
    <row r="49" spans="1:3" x14ac:dyDescent="0.2">
      <c r="A49" s="38" t="str">
        <f>Plan!C51</f>
        <v>G20</v>
      </c>
      <c r="B49" s="31">
        <v>-4.5756666666666668</v>
      </c>
      <c r="C49" s="16">
        <f>-Plan!N51</f>
        <v>104.77138333333333</v>
      </c>
    </row>
    <row r="50" spans="1:3" x14ac:dyDescent="0.2">
      <c r="A50" s="38" t="str">
        <f>Plan!C52</f>
        <v>G21</v>
      </c>
      <c r="B50" s="31">
        <v>-4.6737333333333329</v>
      </c>
      <c r="C50" s="16">
        <f>-Plan!N52</f>
        <v>104.73556666666667</v>
      </c>
    </row>
    <row r="51" spans="1:3" x14ac:dyDescent="0.2">
      <c r="A51" s="38" t="str">
        <f>Plan!C53</f>
        <v>G22</v>
      </c>
      <c r="B51" s="31">
        <v>-4.58805</v>
      </c>
      <c r="C51" s="16">
        <f>-Plan!N53</f>
        <v>104.7274</v>
      </c>
    </row>
    <row r="52" spans="1:3" x14ac:dyDescent="0.2">
      <c r="A52" s="38" t="str">
        <f>Plan!C54</f>
        <v>G23</v>
      </c>
      <c r="B52" s="31">
        <v>-4.4973666666666663</v>
      </c>
      <c r="C52" s="16">
        <f>-Plan!N54</f>
        <v>104.70103333333333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Assumptions</vt:lpstr>
      <vt:lpstr>Plan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A. Collins</dc:creator>
  <cp:lastModifiedBy>Microsoft Office User</cp:lastModifiedBy>
  <dcterms:created xsi:type="dcterms:W3CDTF">2014-03-12T19:21:27Z</dcterms:created>
  <dcterms:modified xsi:type="dcterms:W3CDTF">2021-02-16T01:09:49Z</dcterms:modified>
</cp:coreProperties>
</file>